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\\Ac-fs1\gbg\Scanning\Gabriella\"/>
    </mc:Choice>
  </mc:AlternateContent>
  <xr:revisionPtr revIDLastSave="0" documentId="8_{AB7544A0-D2A6-44CF-9D6A-77A725FD26B0}" xr6:coauthVersionLast="47" xr6:coauthVersionMax="47" xr10:uidLastSave="{00000000-0000-0000-0000-000000000000}"/>
  <bookViews>
    <workbookView xWindow="19090" yWindow="-180" windowWidth="19420" windowHeight="10300" xr2:uid="{DAB3F2D5-E1E1-41CC-91F5-29DE8C27A811}"/>
  </bookViews>
  <sheets>
    <sheet name="CASHFLOW SEK" sheetId="2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31" i="21" l="1"/>
  <c r="V31" i="21"/>
  <c r="W31" i="21"/>
  <c r="X31" i="21"/>
  <c r="Y31" i="21"/>
  <c r="Z31" i="21"/>
  <c r="AA31" i="21"/>
  <c r="AB31" i="21"/>
  <c r="AC31" i="21"/>
  <c r="AD31" i="21"/>
  <c r="AE31" i="21"/>
  <c r="AF31" i="21"/>
  <c r="AG31" i="21"/>
  <c r="AH31" i="21"/>
  <c r="AI31" i="21"/>
  <c r="AJ31" i="21"/>
  <c r="AK31" i="21"/>
  <c r="AL31" i="21"/>
  <c r="AM31" i="21"/>
  <c r="AN31" i="21"/>
  <c r="AO31" i="21"/>
  <c r="AP31" i="21"/>
  <c r="AQ31" i="21"/>
  <c r="T31" i="21"/>
  <c r="T37" i="21" l="1"/>
  <c r="U37" i="21"/>
  <c r="V37" i="21"/>
  <c r="W37" i="21"/>
  <c r="X37" i="21"/>
  <c r="Y37" i="21"/>
  <c r="Z37" i="21"/>
  <c r="AA37" i="21"/>
  <c r="AB37" i="21"/>
  <c r="AC37" i="21"/>
  <c r="AD37" i="21"/>
  <c r="AE37" i="21"/>
  <c r="AF37" i="21"/>
  <c r="AG37" i="21"/>
  <c r="AH37" i="21"/>
  <c r="AI37" i="21"/>
  <c r="AJ37" i="21"/>
  <c r="AK37" i="21"/>
  <c r="AL37" i="21"/>
  <c r="AM37" i="21"/>
  <c r="AN37" i="21"/>
  <c r="AO37" i="21"/>
  <c r="AP37" i="21"/>
  <c r="AQ37" i="21"/>
  <c r="N43" i="21"/>
  <c r="Q43" i="21"/>
  <c r="T43" i="21"/>
  <c r="W43" i="21"/>
  <c r="Z43" i="21"/>
  <c r="AC43" i="21"/>
  <c r="AF43" i="21"/>
  <c r="AI43" i="21"/>
  <c r="AL43" i="21"/>
  <c r="AO43" i="21"/>
  <c r="K43" i="21"/>
  <c r="AQ24" i="21"/>
  <c r="AD24" i="21"/>
  <c r="AE24" i="21"/>
  <c r="AF24" i="21"/>
  <c r="AG24" i="21"/>
  <c r="AH24" i="21"/>
  <c r="AI24" i="21"/>
  <c r="AJ24" i="21"/>
  <c r="AK24" i="21"/>
  <c r="AL24" i="21"/>
  <c r="AM24" i="21"/>
  <c r="AN24" i="21"/>
  <c r="AO24" i="21"/>
  <c r="AP24" i="21"/>
  <c r="T24" i="21"/>
  <c r="N16" i="21" a="1"/>
  <c r="N16" i="21" s="1"/>
  <c r="Q16" i="21" a="1"/>
  <c r="Q16" i="21" s="1"/>
  <c r="T16" i="21" a="1"/>
  <c r="T16" i="21" s="1"/>
  <c r="W16" i="21" a="1"/>
  <c r="W16" i="21" s="1"/>
  <c r="Z16" i="21" a="1"/>
  <c r="Z16" i="21" s="1"/>
  <c r="AC16" i="21" a="1"/>
  <c r="AC16" i="21" s="1"/>
  <c r="AF16" i="21" a="1"/>
  <c r="AF16" i="21" s="1"/>
  <c r="AI16" i="21" a="1"/>
  <c r="AI16" i="21" s="1"/>
  <c r="AL16" i="21" a="1"/>
  <c r="AL16" i="21" s="1"/>
  <c r="AO16" i="21" a="1"/>
  <c r="AO16" i="21" s="1"/>
  <c r="J32" i="21"/>
  <c r="J37" i="21"/>
  <c r="J29" i="21"/>
  <c r="J41" i="21"/>
  <c r="J38" i="21"/>
  <c r="J30" i="21"/>
  <c r="J31" i="21"/>
  <c r="I40" i="21"/>
  <c r="I25" i="21"/>
  <c r="J25" i="21"/>
  <c r="J34" i="21"/>
  <c r="I9" i="21"/>
  <c r="O33" i="21" l="1"/>
  <c r="P33" i="21"/>
  <c r="Q33" i="21"/>
  <c r="R33" i="21"/>
  <c r="S33" i="21"/>
  <c r="N33" i="21"/>
  <c r="L33" i="21"/>
  <c r="M33" i="21"/>
  <c r="K33" i="21"/>
  <c r="J33" i="21"/>
  <c r="I33" i="21"/>
  <c r="I11" i="21"/>
  <c r="I17" i="21" s="1"/>
  <c r="I32" i="21"/>
  <c r="I31" i="21"/>
  <c r="I41" i="21"/>
  <c r="I29" i="21"/>
  <c r="I30" i="21"/>
  <c r="I37" i="21"/>
  <c r="G45" i="21"/>
  <c r="F45" i="21"/>
  <c r="H44" i="21"/>
  <c r="H43" i="21"/>
  <c r="X42" i="21"/>
  <c r="W42" i="21"/>
  <c r="S42" i="21"/>
  <c r="H41" i="21"/>
  <c r="E41" i="21"/>
  <c r="D41" i="21"/>
  <c r="AQ40" i="21"/>
  <c r="AP40" i="21"/>
  <c r="AO40" i="21"/>
  <c r="AN40" i="21"/>
  <c r="AM40" i="21"/>
  <c r="AL40" i="21"/>
  <c r="AK40" i="21"/>
  <c r="AJ40" i="21"/>
  <c r="AI40" i="21"/>
  <c r="AH40" i="21"/>
  <c r="AG40" i="21"/>
  <c r="AF40" i="21"/>
  <c r="AE40" i="21"/>
  <c r="AD40" i="21"/>
  <c r="AC40" i="21"/>
  <c r="AB40" i="21"/>
  <c r="AA40" i="21"/>
  <c r="Z40" i="21"/>
  <c r="Y40" i="21"/>
  <c r="X40" i="21"/>
  <c r="W40" i="21"/>
  <c r="V40" i="21"/>
  <c r="U40" i="21"/>
  <c r="T40" i="21"/>
  <c r="S40" i="21"/>
  <c r="R40" i="21"/>
  <c r="Q40" i="21"/>
  <c r="P40" i="21"/>
  <c r="O40" i="21"/>
  <c r="N40" i="21"/>
  <c r="M40" i="21"/>
  <c r="L40" i="21"/>
  <c r="K40" i="21"/>
  <c r="J40" i="21"/>
  <c r="H40" i="21"/>
  <c r="E40" i="21"/>
  <c r="D40" i="21"/>
  <c r="I39" i="21"/>
  <c r="H39" i="21"/>
  <c r="H38" i="21"/>
  <c r="E38" i="21"/>
  <c r="D38" i="21"/>
  <c r="S37" i="21"/>
  <c r="R37" i="21"/>
  <c r="Q37" i="21"/>
  <c r="P37" i="21"/>
  <c r="O37" i="21"/>
  <c r="N37" i="21"/>
  <c r="M37" i="21"/>
  <c r="L37" i="21"/>
  <c r="K37" i="21"/>
  <c r="H37" i="21"/>
  <c r="E37" i="21"/>
  <c r="D37" i="21"/>
  <c r="H35" i="21"/>
  <c r="H25" i="21"/>
  <c r="E25" i="21"/>
  <c r="H32" i="21"/>
  <c r="E32" i="21"/>
  <c r="K30" i="21"/>
  <c r="H30" i="21"/>
  <c r="E30" i="21"/>
  <c r="D30" i="21"/>
  <c r="S31" i="21"/>
  <c r="R31" i="21"/>
  <c r="Q31" i="21"/>
  <c r="P31" i="21"/>
  <c r="O31" i="21"/>
  <c r="N31" i="21"/>
  <c r="M31" i="21"/>
  <c r="L31" i="21"/>
  <c r="H31" i="21"/>
  <c r="E31" i="21"/>
  <c r="H29" i="21"/>
  <c r="E28" i="21"/>
  <c r="D28" i="21"/>
  <c r="AG27" i="21"/>
  <c r="AA34" i="21"/>
  <c r="Z34" i="21"/>
  <c r="Y34" i="21"/>
  <c r="X34" i="21"/>
  <c r="W34" i="21"/>
  <c r="V34" i="21"/>
  <c r="U34" i="21"/>
  <c r="T34" i="21"/>
  <c r="H34" i="21"/>
  <c r="Z23" i="21"/>
  <c r="E22" i="21"/>
  <c r="AQ21" i="21"/>
  <c r="AP21" i="21"/>
  <c r="AO21" i="21"/>
  <c r="AN21" i="21"/>
  <c r="AM21" i="21"/>
  <c r="AL21" i="21"/>
  <c r="AK21" i="21"/>
  <c r="AJ21" i="21"/>
  <c r="AI21" i="21"/>
  <c r="AH21" i="21"/>
  <c r="AG21" i="21"/>
  <c r="AF21" i="21"/>
  <c r="AE21" i="21"/>
  <c r="T21" i="21"/>
  <c r="S21" i="21"/>
  <c r="R21" i="21"/>
  <c r="Q21" i="21"/>
  <c r="P21" i="21"/>
  <c r="O21" i="21"/>
  <c r="E21" i="21"/>
  <c r="J24" i="21"/>
  <c r="H24" i="21"/>
  <c r="T11" i="21"/>
  <c r="S11" i="21"/>
  <c r="R11" i="21"/>
  <c r="Q11" i="21"/>
  <c r="P11" i="21"/>
  <c r="O11" i="21"/>
  <c r="N11" i="21"/>
  <c r="M11" i="21"/>
  <c r="L11" i="21"/>
  <c r="K11" i="21"/>
  <c r="J11" i="21"/>
  <c r="H11" i="21"/>
  <c r="H17" i="21" s="1"/>
  <c r="AL11" i="21"/>
  <c r="D10" i="21"/>
  <c r="E9" i="21"/>
  <c r="E43" i="21" s="1"/>
  <c r="I38" i="21" l="1"/>
  <c r="K16" i="21" s="1" a="1"/>
  <c r="K16" i="21" s="1"/>
  <c r="V21" i="21"/>
  <c r="L17" i="21"/>
  <c r="U21" i="21"/>
  <c r="P17" i="21"/>
  <c r="W11" i="21"/>
  <c r="AC11" i="21"/>
  <c r="M17" i="21"/>
  <c r="S17" i="21"/>
  <c r="J17" i="21"/>
  <c r="AI11" i="21"/>
  <c r="R17" i="21"/>
  <c r="Q45" i="21"/>
  <c r="O17" i="21"/>
  <c r="K45" i="21"/>
  <c r="X11" i="21"/>
  <c r="AD11" i="21"/>
  <c r="AJ11" i="21"/>
  <c r="V11" i="21"/>
  <c r="AB11" i="21"/>
  <c r="AH11" i="21"/>
  <c r="AQ11" i="21"/>
  <c r="AO11" i="21"/>
  <c r="O45" i="21"/>
  <c r="AP11" i="21"/>
  <c r="P45" i="21"/>
  <c r="Y11" i="21"/>
  <c r="AK11" i="21"/>
  <c r="J45" i="21"/>
  <c r="M45" i="21"/>
  <c r="AA11" i="21"/>
  <c r="AG11" i="21"/>
  <c r="AN11" i="21"/>
  <c r="N45" i="21"/>
  <c r="AG28" i="21"/>
  <c r="Z11" i="21"/>
  <c r="AM11" i="21"/>
  <c r="D25" i="21"/>
  <c r="D43" i="21"/>
  <c r="AF11" i="21"/>
  <c r="S45" i="21"/>
  <c r="E45" i="21"/>
  <c r="D16" i="21"/>
  <c r="H45" i="21"/>
  <c r="AE11" i="21"/>
  <c r="L45" i="21"/>
  <c r="R45" i="21"/>
  <c r="U11" i="21"/>
  <c r="U24" i="21" l="1"/>
  <c r="V24" i="21"/>
  <c r="N17" i="21"/>
  <c r="N46" i="21" s="1"/>
  <c r="H46" i="21"/>
  <c r="Q17" i="21"/>
  <c r="Q46" i="21" s="1"/>
  <c r="AN45" i="21"/>
  <c r="T17" i="21"/>
  <c r="AL17" i="21"/>
  <c r="AB21" i="21"/>
  <c r="S46" i="21"/>
  <c r="R46" i="21"/>
  <c r="P46" i="21"/>
  <c r="L46" i="21"/>
  <c r="M46" i="21"/>
  <c r="J46" i="21"/>
  <c r="O46" i="21"/>
  <c r="Y21" i="21"/>
  <c r="AD45" i="21"/>
  <c r="AC17" i="21"/>
  <c r="W17" i="21"/>
  <c r="X21" i="21"/>
  <c r="AJ45" i="21"/>
  <c r="W21" i="21"/>
  <c r="Z21" i="21"/>
  <c r="AA21" i="21"/>
  <c r="AG17" i="21"/>
  <c r="AO17" i="21"/>
  <c r="AL45" i="21"/>
  <c r="AA17" i="21"/>
  <c r="AF45" i="21"/>
  <c r="Y17" i="21"/>
  <c r="AH45" i="21"/>
  <c r="AQ45" i="21"/>
  <c r="D45" i="21"/>
  <c r="AB17" i="21"/>
  <c r="X17" i="21"/>
  <c r="AG45" i="21"/>
  <c r="Z17" i="21"/>
  <c r="AN17" i="21"/>
  <c r="AK17" i="21"/>
  <c r="AE17" i="21"/>
  <c r="AP17" i="21"/>
  <c r="AJ17" i="21"/>
  <c r="AK45" i="21"/>
  <c r="I45" i="21"/>
  <c r="AI45" i="21"/>
  <c r="AM17" i="21"/>
  <c r="AQ17" i="21"/>
  <c r="AH17" i="21"/>
  <c r="AD17" i="21"/>
  <c r="AE45" i="21"/>
  <c r="AM45" i="21"/>
  <c r="AP45" i="21"/>
  <c r="K17" i="21"/>
  <c r="AO45" i="21"/>
  <c r="AF17" i="21"/>
  <c r="X24" i="21" l="1"/>
  <c r="Z24" i="21"/>
  <c r="AB24" i="21"/>
  <c r="Y24" i="21"/>
  <c r="AA24" i="21"/>
  <c r="W24" i="21"/>
  <c r="AN46" i="21"/>
  <c r="AI17" i="21"/>
  <c r="AI46" i="21" s="1"/>
  <c r="AE46" i="21"/>
  <c r="AQ46" i="21"/>
  <c r="AD46" i="21"/>
  <c r="AM46" i="21"/>
  <c r="AL46" i="21"/>
  <c r="AG46" i="21"/>
  <c r="AP46" i="21"/>
  <c r="AH46" i="21"/>
  <c r="AJ46" i="21"/>
  <c r="AK46" i="21"/>
  <c r="AC21" i="21"/>
  <c r="K6" i="21"/>
  <c r="I46" i="21"/>
  <c r="AF46" i="21"/>
  <c r="AO46" i="21"/>
  <c r="K46" i="21"/>
  <c r="U45" i="21"/>
  <c r="V45" i="21"/>
  <c r="T45" i="21"/>
  <c r="U17" i="21"/>
  <c r="V17" i="21"/>
  <c r="AC24" i="21" l="1"/>
  <c r="L6" i="21"/>
  <c r="T46" i="21"/>
  <c r="U46" i="21"/>
  <c r="Z45" i="21"/>
  <c r="AB45" i="21"/>
  <c r="Y45" i="21"/>
  <c r="X45" i="21"/>
  <c r="AA45" i="21"/>
  <c r="V46" i="21"/>
  <c r="W45" i="21"/>
  <c r="M6" i="21" l="1"/>
  <c r="Y46" i="21"/>
  <c r="AB46" i="21"/>
  <c r="Z46" i="21"/>
  <c r="W46" i="21"/>
  <c r="AA46" i="21"/>
  <c r="X46" i="21"/>
  <c r="AC45" i="21"/>
  <c r="N6" i="21" l="1"/>
  <c r="AC46" i="21"/>
  <c r="O6" i="21" l="1"/>
  <c r="P6" i="21" l="1"/>
  <c r="Q6" i="21" l="1"/>
  <c r="R6" i="21" l="1"/>
  <c r="S6" i="21" l="1"/>
  <c r="T6" i="21" l="1"/>
  <c r="U6" i="21" l="1"/>
  <c r="V6" i="21" l="1"/>
  <c r="W6" i="21" l="1"/>
  <c r="X6" i="21" l="1"/>
  <c r="Y6" i="21" l="1"/>
  <c r="Z6" i="21" l="1"/>
  <c r="AA6" i="21" l="1"/>
  <c r="AB6" i="21" l="1"/>
  <c r="AC6" i="21" l="1"/>
  <c r="AD6" i="21" l="1"/>
  <c r="AE6" i="21" l="1"/>
  <c r="AF6" i="21" l="1"/>
  <c r="AG6" i="21" l="1"/>
  <c r="AH6" i="21" l="1"/>
  <c r="AI6" i="21" l="1"/>
  <c r="AJ6" i="21" l="1"/>
  <c r="AK6" i="21" l="1"/>
  <c r="AL6" i="21" l="1"/>
  <c r="AM6" i="21" l="1"/>
  <c r="AN6" i="21" l="1"/>
  <c r="AO6" i="21" l="1"/>
  <c r="AP6" i="21" l="1"/>
  <c r="AQ6" i="2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tc={00BF96B0-59B4-4A67-B720-C0EDFBFDED7C}</author>
    <author>tc={74ED7FFB-6C3C-47DE-AB02-D8DE07C5F015}</author>
    <author>tc={C7CAB56E-EDBD-4E08-B593-169C7E3B92B1}</author>
    <author>tc={7C90C09A-2B0B-42B6-BE7E-751AA9821B1F}</author>
    <author>tc={8259B90E-1041-42F0-AA9A-A2BB70B0CAAC}</author>
    <author>tc={5F2BF1DC-60F0-4A44-BF97-C6AD0BB2ACCC}</author>
    <author>tc={F932C0E7-C8ED-4E09-A1D9-483302A74BAC}</author>
    <author>tc={5ED6C74C-A2B4-4C45-9789-63CEC2B5A6B4}</author>
    <author>tc={5F32572F-2E69-4D9F-B6CA-165160C6FA5A}</author>
    <author>tc={FD621133-10DC-4F71-8B9E-719C4C2B0217}</author>
    <author>tc={F4D460AC-5F5B-4FF7-A3DE-E683CE683E34}</author>
    <author>tc={F1FFC445-7318-4150-AFD3-E324EE238306}</author>
    <author>tc={CC53487B-FA62-4B02-8110-F2876B19C386}</author>
    <author>tc={877A4EE9-A884-4308-9C86-CB227A09C3BA}</author>
    <author>tc={59960030-E9B9-4901-ADB1-F1439616FEB9}</author>
    <author>tc={2C5F250A-123C-43DC-9A24-D50E67EBA620}</author>
    <author>tc={7A19F23E-7139-48A6-AA6C-EE877E2A9E09}</author>
    <author>tc={E30DEE85-1958-4284-A4E6-CF97C8597496}</author>
    <author>tc={E94E0063-1540-4CAE-8B32-FA0552EDB31D}</author>
    <author>tc={6076AC5A-D237-44E1-8F15-D34178BB3492}</author>
    <author>tc={2A58D685-4735-4B83-871A-284E6751A7DF}</author>
  </authors>
  <commentList>
    <comment ref="J6" authorId="0" shapeId="0" xr:uid="{00BF96B0-59B4-4A67-B720-C0EDFBFDED7C}">
      <text>
        <t xml:space="preserve">[Trådad kommentar]
I din version av Excel kan du läsa den här trådade kommentaren, men eventuella ändringar i den tas bort om filen öppnas i en senare version av Excel. Läs mer: https://go.microsoft.com/fwlink/?linkid=870924
Kommentar:
    Utlägg, ränta, dyr värme / vattenkostnad
Svar:
    Schenker </t>
      </text>
    </comment>
    <comment ref="I9" authorId="1" shapeId="0" xr:uid="{74ED7FFB-6C3C-47DE-AB02-D8DE07C5F015}">
      <text>
        <t>[Trådad kommentar]
I din version av Excel kan du läsa den här trådade kommentaren, men eventuella ändringar i den tas bort om filen öppnas i en senare version av Excel. Läs mer: https://go.microsoft.com/fwlink/?linkid=870924
Kommentar:
    Prognos
Svar:
    236749 vad vi fått från Factoring</t>
      </text>
    </comment>
    <comment ref="J9" authorId="2" shapeId="0" xr:uid="{C7CAB56E-EDBD-4E08-B593-169C7E3B92B1}">
      <text>
        <t>[Trådad kommentar]
I din version av Excel kan du läsa den här trådade kommentaren, men eventuella ändringar i den tas bort om filen öppnas i en senare version av Excel. Läs mer: https://go.microsoft.com/fwlink/?linkid=870924
Kommentar:
    10000 pallar för 90kr st (112,5 ink moms)</t>
      </text>
    </comment>
    <comment ref="K9" authorId="3" shapeId="0" xr:uid="{7C90C09A-2B0B-42B6-BE7E-751AA9821B1F}">
      <text>
        <t>[Trådad kommentar]
I din version av Excel kan du läsa den här trådade kommentaren, men eventuella ändringar i den tas bort om filen öppnas i en senare version av Excel. Läs mer: https://go.microsoft.com/fwlink/?linkid=870924
Kommentar:
    12000 pallar för 90 kr st (112,5 ink moms)</t>
      </text>
    </comment>
    <comment ref="M9" authorId="4" shapeId="0" xr:uid="{8259B90E-1041-42F0-AA9A-A2BB70B0CAAC}">
      <text>
        <t>[Trådad kommentar]
I din version av Excel kan du läsa den här trådade kommentaren, men eventuella ändringar i den tas bort om filen öppnas i en senare version av Excel. Läs mer: https://go.microsoft.com/fwlink/?linkid=870924
Kommentar:
    80 % av full kapacitet 3 skift</t>
      </text>
    </comment>
    <comment ref="O9" authorId="5" shapeId="0" xr:uid="{5F2BF1DC-60F0-4A44-BF97-C6AD0BB2ACCC}">
      <text>
        <t>[Trådad kommentar]
I din version av Excel kan du läsa den här trådade kommentaren, men eventuella ändringar i den tas bort om filen öppnas i en senare version av Excel. Läs mer: https://go.microsoft.com/fwlink/?linkid=870924
Kommentar:
    Full kapacitet 3 skift</t>
      </text>
    </comment>
    <comment ref="Q9" authorId="6" shapeId="0" xr:uid="{F932C0E7-C8ED-4E09-A1D9-483302A74BAC}">
      <text>
        <t>[Trådad kommentar]
I din version av Excel kan du läsa den här trådade kommentaren, men eventuella ändringar i den tas bort om filen öppnas i en senare version av Excel. Läs mer: https://go.microsoft.com/fwlink/?linkid=870924
Kommentar:
    80 % av full kapacitet 5 skift</t>
      </text>
    </comment>
    <comment ref="K15" authorId="7" shapeId="0" xr:uid="{5ED6C74C-A2B4-4C45-9789-63CEC2B5A6B4}">
      <text>
        <t>[Trådad kommentar]
I din version av Excel kan du läsa den här trådade kommentaren, men eventuella ändringar i den tas bort om filen öppnas i en senare version av Excel. Läs mer: https://go.microsoft.com/fwlink/?linkid=870924
Kommentar:
    Jan Holmberg (?)</t>
      </text>
    </comment>
    <comment ref="G21" authorId="8" shapeId="0" xr:uid="{5F32572F-2E69-4D9F-B6CA-165160C6FA5A}">
      <text>
        <t>[Trådad kommentar]
I din version av Excel kan du läsa den här trådade kommentaren, men eventuella ändringar i den tas bort om filen öppnas i en senare version av Excel. Läs mer: https://go.microsoft.com/fwlink/?linkid=870924
Kommentar:
    Marcus</t>
      </text>
    </comment>
    <comment ref="O21" authorId="9" shapeId="0" xr:uid="{FD621133-10DC-4F71-8B9E-719C4C2B0217}">
      <text>
        <t>[Trådad kommentar]
I din version av Excel kan du läsa den här trådade kommentaren, men eventuella ändringar i den tas bort om filen öppnas i en senare version av Excel. Läs mer: https://go.microsoft.com/fwlink/?linkid=870924
Kommentar:
    Ny säljare</t>
      </text>
    </comment>
    <comment ref="K22" authorId="10" shapeId="0" xr:uid="{F4D460AC-5F5B-4FF7-A3DE-E683CE683E34}">
      <text>
        <t>[Trådad kommentar]
I din version av Excel kan du läsa den här trådade kommentaren, men eventuella ändringar i den tas bort om filen öppnas i en senare version av Excel. Läs mer: https://go.microsoft.com/fwlink/?linkid=870924
Kommentar:
    3 skift</t>
      </text>
    </comment>
    <comment ref="J24" authorId="11" shapeId="0" xr:uid="{F1FFC445-7318-4150-AFD3-E324EE238306}">
      <text>
        <t>[Trådad kommentar]
I din version av Excel kan du läsa den här trådade kommentaren, men eventuella ändringar i den tas bort om filen öppnas i en senare version av Excel. Läs mer: https://go.microsoft.com/fwlink/?linkid=870924
Kommentar:
    Slutskatt, omräkning moms, prel skatt</t>
      </text>
    </comment>
    <comment ref="H30" authorId="12" shapeId="0" xr:uid="{CC53487B-FA62-4B02-8110-F2876B19C386}">
      <text>
        <t>[Trådad kommentar]
I din version av Excel kan du läsa den här trådade kommentaren, men eventuella ändringar i den tas bort om filen öppnas i en senare version av Excel. Läs mer: https://go.microsoft.com/fwlink/?linkid=870924
Kommentar:
    Ventilation + växellåda
Svar:
    70000 WIMAO</t>
      </text>
    </comment>
    <comment ref="I30" authorId="13" shapeId="0" xr:uid="{877A4EE9-A884-4308-9C86-CB227A09C3BA}">
      <text>
        <t xml:space="preserve">[Trådad kommentar]
I din version av Excel kan du läsa den här trådade kommentaren, men eventuella ändringar i den tas bort om filen öppnas i en senare version av Excel. Läs mer: https://go.microsoft.com/fwlink/?linkid=870924
Kommentar:
    Banor för moldbyte
</t>
      </text>
    </comment>
    <comment ref="J30" authorId="14" shapeId="0" xr:uid="{59960030-E9B9-4901-ADB1-F1439616FEB9}">
      <text>
        <t>[Trådad kommentar]
I din version av Excel kan du läsa den här trådade kommentaren, men eventuella ändringar i den tas bort om filen öppnas i en senare version av Excel. Läs mer: https://go.microsoft.com/fwlink/?linkid=870924
Kommentar:
    Banor för mouldbyte delbetalning 311942/2
Svar:
    33681 jinert flytt av mould</t>
      </text>
    </comment>
    <comment ref="K30" authorId="15" shapeId="0" xr:uid="{2C5F250A-123C-43DC-9A24-D50E67EBA620}">
      <text>
        <t>[Trådad kommentar]
I din version av Excel kan du läsa den här trådade kommentaren, men eventuella ändringar i den tas bort om filen öppnas i en senare version av Excel. Läs mer: https://go.microsoft.com/fwlink/?linkid=870924
Kommentar:
    Banor för mouldbyte delbetalning 311942/2</t>
      </text>
    </comment>
    <comment ref="J31" authorId="16" shapeId="0" xr:uid="{7A19F23E-7139-48A6-AA6C-EE877E2A9E09}">
      <text>
        <t>[Trådad kommentar]
I din version av Excel kan du läsa den här trådade kommentaren, men eventuella ändringar i den tas bort om filen öppnas i en senare version av Excel. Läs mer: https://go.microsoft.com/fwlink/?linkid=870924
Kommentar:
    Motala kommun</t>
      </text>
    </comment>
    <comment ref="J32" authorId="17" shapeId="0" xr:uid="{E30DEE85-1958-4284-A4E6-CF97C8597496}">
      <text>
        <t>[Trådad kommentar]
I din version av Excel kan du läsa den här trådade kommentaren, men eventuella ändringar i den tas bort om filen öppnas i en senare version av Excel. Läs mer: https://go.microsoft.com/fwlink/?linkid=870924
Kommentar:
    Streckkoder blomsterlandet 2000kr</t>
      </text>
    </comment>
    <comment ref="I39" authorId="18" shapeId="0" xr:uid="{E94E0063-1540-4CAE-8B32-FA0552EDB31D}">
      <text>
        <t xml:space="preserve">[Trådad kommentar]
I din version av Excel kan du läsa den här trådade kommentaren, men eventuella ändringar i den tas bort om filen öppnas i en senare version av Excel. Läs mer: https://go.microsoft.com/fwlink/?linkid=870924
Kommentar:
    Stål till kragar
</t>
      </text>
    </comment>
    <comment ref="S42" authorId="19" shapeId="0" xr:uid="{6076AC5A-D237-44E1-8F15-D34178BB3492}">
      <text>
        <t xml:space="preserve">[Trådad kommentar]
I din version av Excel kan du läsa den här trådade kommentaren, men eventuella ändringar i den tas bort om filen öppnas i en senare version av Excel. Läs mer: https://go.microsoft.com/fwlink/?linkid=870924
Kommentar:
    395297.11 är unexpected expenses
</t>
      </text>
    </comment>
    <comment ref="H43" authorId="20" shapeId="0" xr:uid="{2A58D685-4735-4B83-871A-284E6751A7DF}">
      <text>
        <t xml:space="preserve">[Trådad kommentar]
I din version av Excel kan du läsa den här trådade kommentaren, men eventuella ändringar i den tas bort om filen öppnas i en senare version av Excel. Läs mer: https://go.microsoft.com/fwlink/?linkid=870924
Kommentar:
    Moms + korrigerad moms Q1 2024
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<sst xmlns="http://schemas.openxmlformats.org/spreadsheetml/2006/main" count="85" uniqueCount="84">
  <si>
    <t>Augusti</t>
  </si>
  <si>
    <t>September</t>
  </si>
  <si>
    <t>Oktober</t>
  </si>
  <si>
    <t>November</t>
  </si>
  <si>
    <t>December</t>
  </si>
  <si>
    <t>January</t>
  </si>
  <si>
    <t>February</t>
  </si>
  <si>
    <t>March</t>
  </si>
  <si>
    <t>April</t>
  </si>
  <si>
    <t>May</t>
  </si>
  <si>
    <t>June</t>
  </si>
  <si>
    <t>July</t>
  </si>
  <si>
    <t>aug-25</t>
  </si>
  <si>
    <t>sep-25</t>
  </si>
  <si>
    <t>oct-25</t>
  </si>
  <si>
    <t>nov-25</t>
  </si>
  <si>
    <t>dec-25</t>
  </si>
  <si>
    <t>jan-26</t>
  </si>
  <si>
    <t>feb-26</t>
  </si>
  <si>
    <t>mar-26</t>
  </si>
  <si>
    <t>apr-26</t>
  </si>
  <si>
    <t>may 2026</t>
  </si>
  <si>
    <t>jun-26</t>
  </si>
  <si>
    <t>jul-26</t>
  </si>
  <si>
    <t>aug-26</t>
  </si>
  <si>
    <t>sep-26</t>
  </si>
  <si>
    <t>oct 2026</t>
  </si>
  <si>
    <t>nov-26</t>
  </si>
  <si>
    <t>dec-26</t>
  </si>
  <si>
    <t>jan-27</t>
  </si>
  <si>
    <t>feb-27</t>
  </si>
  <si>
    <t>mar-27</t>
  </si>
  <si>
    <t>apr-272</t>
  </si>
  <si>
    <t>may 2027</t>
  </si>
  <si>
    <t>jun-27</t>
  </si>
  <si>
    <t>jul-27</t>
  </si>
  <si>
    <t>aug-27</t>
  </si>
  <si>
    <t>sep-27</t>
  </si>
  <si>
    <t>oct 2027</t>
  </si>
  <si>
    <t>nov-27</t>
  </si>
  <si>
    <t>dec-27</t>
  </si>
  <si>
    <t>Klimatklivet</t>
  </si>
  <si>
    <t>Sales Motala</t>
  </si>
  <si>
    <t xml:space="preserve">Sales Ljungby </t>
  </si>
  <si>
    <t>VAT</t>
  </si>
  <si>
    <t>Tax and social fees</t>
  </si>
  <si>
    <t>Salaries Operations</t>
  </si>
  <si>
    <t>Salaries Motala</t>
  </si>
  <si>
    <t>Salaries Ljungby</t>
  </si>
  <si>
    <t>Motala Factory rent</t>
  </si>
  <si>
    <t xml:space="preserve">Ljungby Factory rent </t>
  </si>
  <si>
    <t>Rent Gothenburg HQ</t>
  </si>
  <si>
    <t>Material &amp; Inventory (clothes, PPE)</t>
  </si>
  <si>
    <t xml:space="preserve">Machines and Service </t>
  </si>
  <si>
    <t>Ljungby project</t>
  </si>
  <si>
    <t>Factoring</t>
  </si>
  <si>
    <t>Loan to Fredrik</t>
  </si>
  <si>
    <t>Administration (PR-, Audit, Legal, Postbox)</t>
  </si>
  <si>
    <t>Cashflow SEK Wimao Impossible Plastics AB</t>
  </si>
  <si>
    <t>Fixed costs</t>
  </si>
  <si>
    <t>IT-Services</t>
  </si>
  <si>
    <t>Variable costs</t>
  </si>
  <si>
    <t xml:space="preserve">Logistics </t>
  </si>
  <si>
    <t>OPENING CASH BALANCE</t>
  </si>
  <si>
    <t>POST</t>
  </si>
  <si>
    <t>RECEIVABLES</t>
  </si>
  <si>
    <t>Cash flow from financing / investing</t>
  </si>
  <si>
    <t>TOTAL RECEIVABLES</t>
  </si>
  <si>
    <t>PAYABLES</t>
  </si>
  <si>
    <t>Cash flow from sales inc. vat</t>
  </si>
  <si>
    <t>Sales total</t>
  </si>
  <si>
    <t>TOTAL PAYABLES</t>
  </si>
  <si>
    <t>Cash receipt from equity</t>
  </si>
  <si>
    <t>Cash paid for loan</t>
  </si>
  <si>
    <t>Cash paid for interest</t>
  </si>
  <si>
    <t xml:space="preserve">Pension </t>
  </si>
  <si>
    <t xml:space="preserve">Production Material </t>
  </si>
  <si>
    <t xml:space="preserve">Electricity, water, heating </t>
  </si>
  <si>
    <t>Other</t>
  </si>
  <si>
    <t>Cash receipt from loans</t>
  </si>
  <si>
    <t>Personnel cost</t>
  </si>
  <si>
    <t>Other fixed costs</t>
  </si>
  <si>
    <t>NET CASHFLOW</t>
  </si>
  <si>
    <t>Projected cashflow 2025-2027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</si>
</sst>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-* #,##0.00_-;\-* #,##0.00_-;_-* &quot;-&quot;??_-;_-@_-"/>
    <numFmt numFmtId="164" formatCode="_-* #,##0.00\ _k_r_-;\-* #,##0.00\ _k_r_-;_-* &quot;-&quot;??\ _k_r_-;_-@_-"/>
    <numFmt numFmtId="165" formatCode="#,##0_ ;[Red]\-#,##0\ "/>
  </numFmts>
  <fonts count="12" x14ac:knownFonts="1">
    <font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11"/>
      <color theme="9"/>
      <name val="Aptos Narrow"/>
      <family val="2"/>
      <scheme val="minor"/>
    </font>
    <font>
      <sz val="12"/>
      <name val="Aptos Narrow"/>
      <family val="2"/>
      <scheme val="minor"/>
    </font>
    <font>
      <sz val="12"/>
      <color rgb="FF000000"/>
      <name val="Aptos Narrow"/>
      <family val="2"/>
      <scheme val="minor"/>
    </font>
    <font>
      <i/>
      <sz val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43" fontId="4" fillId="0" borderId="0" applyFont="0" applyFill="0" applyBorder="0" applyAlignment="0" applyProtection="0"/>
  </cellStyleXfs>
  <cellXfs count="8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43" fontId="0" fillId="0" borderId="0" xfId="2" applyFont="1"/>
    <xf numFmtId="164" fontId="0" fillId="0" borderId="0" xfId="0" applyNumberFormat="1"/>
    <xf numFmtId="0" fontId="5" fillId="0" borderId="0" xfId="0" applyFont="1"/>
    <xf numFmtId="0" fontId="6" fillId="0" borderId="0" xfId="0" applyFont="1"/>
    <xf numFmtId="2" fontId="0" fillId="0" borderId="0" xfId="0" applyNumberFormat="1"/>
    <xf numFmtId="43" fontId="5" fillId="0" borderId="0" xfId="2" applyFont="1" applyBorder="1"/>
    <xf numFmtId="43" fontId="0" fillId="0" borderId="0" xfId="2" applyFont="1" applyBorder="1"/>
    <xf numFmtId="43" fontId="0" fillId="0" borderId="0" xfId="2" applyFont="1" applyFill="1"/>
    <xf numFmtId="43" fontId="5" fillId="2" borderId="0" xfId="2" applyFont="1" applyFill="1" applyBorder="1"/>
    <xf numFmtId="43" fontId="0" fillId="2" borderId="0" xfId="2" applyFont="1" applyFill="1" applyBorder="1"/>
    <xf numFmtId="43" fontId="0" fillId="2" borderId="0" xfId="2" applyFont="1" applyFill="1"/>
    <xf numFmtId="43" fontId="0" fillId="0" borderId="0" xfId="2" applyFont="1" applyFill="1" applyBorder="1"/>
    <xf numFmtId="43" fontId="4" fillId="0" borderId="0" xfId="2" applyFont="1"/>
    <xf numFmtId="43" fontId="5" fillId="0" borderId="0" xfId="2" applyFont="1" applyFill="1" applyBorder="1"/>
    <xf numFmtId="0" fontId="1" fillId="0" borderId="0" xfId="1" applyFont="1"/>
    <xf numFmtId="0" fontId="7" fillId="0" borderId="0" xfId="0" applyFont="1"/>
    <xf numFmtId="43" fontId="7" fillId="0" borderId="0" xfId="2" applyFont="1"/>
    <xf numFmtId="164" fontId="0" fillId="0" borderId="0" xfId="2" applyNumberFormat="1" applyFont="1" applyBorder="1"/>
    <xf numFmtId="43" fontId="7" fillId="0" borderId="0" xfId="2" applyFont="1" applyBorder="1"/>
    <xf numFmtId="43" fontId="7" fillId="2" borderId="0" xfId="2" applyFont="1" applyFill="1" applyBorder="1"/>
    <xf numFmtId="43" fontId="5" fillId="0" borderId="0" xfId="2" applyFont="1" applyBorder="1" applyAlignment="1"/>
    <xf numFmtId="43" fontId="4" fillId="0" borderId="0" xfId="2" applyFont="1" applyBorder="1"/>
    <xf numFmtId="43" fontId="4" fillId="2" borderId="0" xfId="2" applyFont="1" applyFill="1" applyBorder="1"/>
    <xf numFmtId="165" fontId="0" fillId="0" borderId="0" xfId="2" applyNumberFormat="1" applyFont="1" applyAlignment="1">
      <alignment horizontal="center" vertical="center"/>
    </xf>
    <xf numFmtId="165" fontId="4" fillId="0" borderId="0" xfId="2" applyNumberFormat="1" applyFont="1" applyBorder="1" applyAlignment="1">
      <alignment horizontal="center" vertical="center"/>
    </xf>
    <xf numFmtId="165" fontId="5" fillId="0" borderId="0" xfId="2" applyNumberFormat="1" applyFont="1" applyBorder="1" applyAlignment="1">
      <alignment horizontal="center"/>
    </xf>
    <xf numFmtId="165" fontId="0" fillId="0" borderId="0" xfId="2" applyNumberFormat="1" applyFont="1" applyBorder="1" applyAlignment="1">
      <alignment horizontal="center"/>
    </xf>
    <xf numFmtId="165" fontId="0" fillId="0" borderId="0" xfId="2" applyNumberFormat="1" applyFont="1" applyAlignment="1">
      <alignment horizontal="center"/>
    </xf>
    <xf numFmtId="165" fontId="4" fillId="0" borderId="0" xfId="2" applyNumberFormat="1" applyFont="1" applyAlignment="1">
      <alignment horizontal="center"/>
    </xf>
    <xf numFmtId="165" fontId="0" fillId="0" borderId="0" xfId="2" applyNumberFormat="1" applyFont="1" applyFill="1" applyBorder="1" applyAlignment="1">
      <alignment horizontal="center"/>
    </xf>
    <xf numFmtId="165" fontId="7" fillId="0" borderId="0" xfId="2" applyNumberFormat="1" applyFont="1" applyBorder="1" applyAlignment="1">
      <alignment horizontal="center"/>
    </xf>
    <xf numFmtId="165" fontId="0" fillId="0" borderId="0" xfId="2" applyNumberFormat="1" applyFont="1" applyFill="1" applyAlignment="1">
      <alignment horizontal="center"/>
    </xf>
    <xf numFmtId="165" fontId="8" fillId="0" borderId="0" xfId="2" applyNumberFormat="1" applyFont="1" applyBorder="1" applyAlignment="1">
      <alignment horizontal="center"/>
    </xf>
    <xf numFmtId="43" fontId="5" fillId="0" borderId="0" xfId="2" applyFont="1" applyFill="1"/>
    <xf numFmtId="165" fontId="5" fillId="0" borderId="0" xfId="2" applyNumberFormat="1" applyFont="1" applyFill="1" applyAlignment="1">
      <alignment horizontal="center"/>
    </xf>
    <xf numFmtId="43" fontId="5" fillId="2" borderId="0" xfId="2" applyFont="1" applyFill="1" applyBorder="1" applyAlignment="1"/>
    <xf numFmtId="0" fontId="9" fillId="0" borderId="0" xfId="0" applyFont="1"/>
    <xf numFmtId="43" fontId="1" fillId="0" borderId="1" xfId="2" applyFont="1" applyBorder="1" applyAlignment="1"/>
    <xf numFmtId="43" fontId="1" fillId="0" borderId="0" xfId="2" applyFont="1" applyBorder="1" applyAlignment="1"/>
    <xf numFmtId="0" fontId="9" fillId="2" borderId="0" xfId="0" applyFont="1" applyFill="1"/>
    <xf numFmtId="43" fontId="1" fillId="0" borderId="1" xfId="2" applyFont="1" applyBorder="1"/>
    <xf numFmtId="43" fontId="1" fillId="2" borderId="1" xfId="2" applyFont="1" applyFill="1" applyBorder="1"/>
    <xf numFmtId="165" fontId="1" fillId="0" borderId="1" xfId="2" applyNumberFormat="1" applyFont="1" applyBorder="1" applyAlignment="1">
      <alignment horizontal="center"/>
    </xf>
    <xf numFmtId="43" fontId="1" fillId="3" borderId="0" xfId="2" applyFont="1" applyFill="1" applyBorder="1" applyAlignment="1"/>
    <xf numFmtId="43" fontId="5" fillId="3" borderId="0" xfId="2" applyFont="1" applyFill="1" applyBorder="1"/>
    <xf numFmtId="165" fontId="5" fillId="3" borderId="0" xfId="2" applyNumberFormat="1" applyFont="1" applyFill="1" applyBorder="1" applyAlignment="1">
      <alignment horizontal="center"/>
    </xf>
    <xf numFmtId="165" fontId="5" fillId="2" borderId="3" xfId="2" applyNumberFormat="1" applyFont="1" applyFill="1" applyBorder="1" applyAlignment="1">
      <alignment horizontal="center"/>
    </xf>
    <xf numFmtId="43" fontId="1" fillId="2" borderId="3" xfId="2" applyFont="1" applyFill="1" applyBorder="1" applyAlignment="1"/>
    <xf numFmtId="43" fontId="5" fillId="2" borderId="3" xfId="2" applyFont="1" applyFill="1" applyBorder="1"/>
    <xf numFmtId="43" fontId="1" fillId="3" borderId="2" xfId="2" applyFont="1" applyFill="1" applyBorder="1" applyAlignment="1"/>
    <xf numFmtId="43" fontId="5" fillId="3" borderId="2" xfId="2" applyFont="1" applyFill="1" applyBorder="1" applyAlignment="1"/>
    <xf numFmtId="43" fontId="1" fillId="2" borderId="1" xfId="2" applyFont="1" applyFill="1" applyBorder="1" applyAlignment="1"/>
    <xf numFmtId="43" fontId="5" fillId="2" borderId="1" xfId="2" applyFont="1" applyFill="1" applyBorder="1"/>
    <xf numFmtId="165" fontId="5" fillId="2" borderId="1" xfId="2" applyNumberFormat="1" applyFont="1" applyFill="1" applyBorder="1" applyAlignment="1">
      <alignment horizontal="center"/>
    </xf>
    <xf numFmtId="43" fontId="1" fillId="0" borderId="0" xfId="2" applyFont="1" applyBorder="1" applyAlignment="1">
      <alignment horizontal="left" indent="1"/>
    </xf>
    <xf numFmtId="43" fontId="2" fillId="0" borderId="0" xfId="2" applyFont="1" applyBorder="1" applyAlignment="1">
      <alignment horizontal="left" indent="3"/>
    </xf>
    <xf numFmtId="43" fontId="1" fillId="0" borderId="0" xfId="2" applyFont="1" applyFill="1" applyBorder="1" applyAlignment="1">
      <alignment horizontal="left" indent="1"/>
    </xf>
    <xf numFmtId="0" fontId="1" fillId="0" borderId="0" xfId="0" applyFont="1" applyAlignment="1">
      <alignment horizontal="left" indent="1"/>
    </xf>
    <xf numFmtId="43" fontId="2" fillId="0" borderId="0" xfId="2" applyFont="1" applyFill="1" applyAlignment="1">
      <alignment horizontal="left" indent="3"/>
    </xf>
    <xf numFmtId="43" fontId="1" fillId="0" borderId="0" xfId="2" applyFont="1" applyBorder="1" applyAlignment="1">
      <alignment horizontal="left" indent="2"/>
    </xf>
    <xf numFmtId="43" fontId="5" fillId="0" borderId="0" xfId="2" applyFont="1" applyBorder="1" applyAlignment="1">
      <alignment horizontal="left" indent="1"/>
    </xf>
    <xf numFmtId="43" fontId="5" fillId="2" borderId="0" xfId="2" applyFont="1" applyFill="1" applyBorder="1" applyAlignment="1">
      <alignment horizontal="left" indent="1"/>
    </xf>
    <xf numFmtId="165" fontId="5" fillId="0" borderId="0" xfId="2" applyNumberFormat="1" applyFont="1" applyBorder="1" applyAlignment="1">
      <alignment horizontal="left" indent="1"/>
    </xf>
    <xf numFmtId="0" fontId="9" fillId="0" borderId="0" xfId="0" applyFont="1" applyAlignment="1">
      <alignment horizontal="center" vertical="center"/>
    </xf>
    <xf numFmtId="17" fontId="9" fillId="0" borderId="0" xfId="0" applyNumberFormat="1" applyFont="1" applyAlignment="1">
      <alignment horizontal="center" vertical="center"/>
    </xf>
    <xf numFmtId="165" fontId="1" fillId="0" borderId="1" xfId="2" applyNumberFormat="1" applyFont="1" applyBorder="1" applyAlignment="1">
      <alignment horizontal="center" vertical="center"/>
    </xf>
    <xf numFmtId="165" fontId="5" fillId="2" borderId="3" xfId="2" applyNumberFormat="1" applyFont="1" applyFill="1" applyBorder="1" applyAlignment="1">
      <alignment horizontal="center" vertical="center"/>
    </xf>
    <xf numFmtId="165" fontId="0" fillId="2" borderId="3" xfId="2" applyNumberFormat="1" applyFont="1" applyFill="1" applyBorder="1" applyAlignment="1">
      <alignment horizontal="center" vertical="center"/>
    </xf>
    <xf numFmtId="165" fontId="5" fillId="0" borderId="0" xfId="2" applyNumberFormat="1" applyFont="1" applyBorder="1" applyAlignment="1">
      <alignment horizontal="center" vertical="center"/>
    </xf>
    <xf numFmtId="165" fontId="0" fillId="0" borderId="0" xfId="2" applyNumberFormat="1" applyFont="1" applyBorder="1" applyAlignment="1">
      <alignment horizontal="center" vertical="center"/>
    </xf>
    <xf numFmtId="165" fontId="4" fillId="0" borderId="0" xfId="2" applyNumberFormat="1" applyFont="1" applyAlignment="1">
      <alignment horizontal="center" vertical="center"/>
    </xf>
    <xf numFmtId="165" fontId="5" fillId="0" borderId="0" xfId="2" applyNumberFormat="1" applyFont="1" applyFill="1" applyAlignment="1">
      <alignment horizontal="center" vertical="center"/>
    </xf>
    <xf numFmtId="165" fontId="0" fillId="0" borderId="0" xfId="2" applyNumberFormat="1" applyFont="1" applyFill="1" applyBorder="1" applyAlignment="1">
      <alignment horizontal="center" vertical="center"/>
    </xf>
    <xf numFmtId="165" fontId="5" fillId="2" borderId="1" xfId="2" applyNumberFormat="1" applyFont="1" applyFill="1" applyBorder="1" applyAlignment="1">
      <alignment horizontal="center" vertical="center"/>
    </xf>
    <xf numFmtId="165" fontId="5" fillId="3" borderId="2" xfId="2" applyNumberFormat="1" applyFont="1" applyFill="1" applyBorder="1" applyAlignment="1">
      <alignment horizontal="center" vertical="center"/>
    </xf>
    <xf numFmtId="165" fontId="7" fillId="0" borderId="0" xfId="2" applyNumberFormat="1" applyFont="1" applyBorder="1" applyAlignment="1">
      <alignment horizontal="center" vertical="center"/>
    </xf>
    <xf numFmtId="165" fontId="7" fillId="0" borderId="0" xfId="2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165" fontId="0" fillId="0" borderId="0" xfId="2" applyNumberFormat="1" applyFont="1" applyFill="1" applyAlignment="1">
      <alignment horizontal="center" vertical="center"/>
    </xf>
    <xf numFmtId="165" fontId="5" fillId="3" borderId="0" xfId="2" applyNumberFormat="1" applyFont="1" applyFill="1" applyBorder="1" applyAlignment="1">
      <alignment horizontal="center" vertical="center"/>
    </xf>
    <xf numFmtId="0" fontId="11" fillId="0" borderId="0" xfId="0" applyFont="1"/>
    <xf numFmtId="165" fontId="5" fillId="0" borderId="0" xfId="2" applyNumberFormat="1" applyFont="1" applyAlignment="1">
      <alignment horizontal="center" vertical="center"/>
    </xf>
    <xf numFmtId="43" fontId="2" fillId="0" borderId="0" xfId="2" applyFont="1" applyFill="1" applyBorder="1" applyAlignment="1">
      <alignment horizontal="left" indent="3"/>
    </xf>
    <xf numFmtId="43" fontId="10" fillId="0" borderId="0" xfId="2" applyFont="1" applyFill="1" applyBorder="1" applyAlignment="1">
      <alignment horizontal="left" indent="3"/>
    </xf>
  </cellXfs>
  <cellStyles count="3">
    <cellStyle name="Normal" xfId="0" builtinId="0"/>
    <cellStyle name="Normal 2" xfId="1" xr:uid="{2A5E12A8-6FD8-4FD1-A389-ACF510D6DA95}"/>
    <cellStyle name="Tusental" xfId="2" builtinId="3"/>
  </cellStyles>
  <dxfs count="47">
    <dxf>
      <numFmt numFmtId="165" formatCode="#,##0_ ;[Red]\-#,##0\ "/>
      <alignment horizontal="center" vertical="center" textRotation="0" wrapText="0" indent="0" justifyLastLine="0" shrinkToFit="0" readingOrder="0"/>
    </dxf>
    <dxf>
      <numFmt numFmtId="165" formatCode="#,##0_ ;[Red]\-#,##0\ "/>
      <alignment horizontal="center" vertical="center" textRotation="0" wrapText="0" indent="0" justifyLastLine="0" shrinkToFit="0" readingOrder="0"/>
    </dxf>
    <dxf>
      <numFmt numFmtId="165" formatCode="#,##0_ ;[Red]\-#,##0\ "/>
      <alignment horizontal="center" vertical="center" textRotation="0" wrapText="0" indent="0" justifyLastLine="0" shrinkToFit="0" readingOrder="0"/>
    </dxf>
    <dxf>
      <numFmt numFmtId="165" formatCode="#,##0_ ;[Red]\-#,##0\ "/>
      <alignment horizontal="center" vertical="center" textRotation="0" wrapText="0" indent="0" justifyLastLine="0" shrinkToFit="0" readingOrder="0"/>
    </dxf>
    <dxf>
      <numFmt numFmtId="165" formatCode="#,##0_ ;[Red]\-#,##0\ "/>
      <alignment horizontal="center" vertical="center" textRotation="0" wrapText="0" indent="0" justifyLastLine="0" shrinkToFit="0" readingOrder="0"/>
    </dxf>
    <dxf>
      <numFmt numFmtId="165" formatCode="#,##0_ ;[Red]\-#,##0\ "/>
      <alignment horizontal="center" vertical="center" textRotation="0" wrapText="0" indent="0" justifyLastLine="0" shrinkToFit="0" readingOrder="0"/>
    </dxf>
    <dxf>
      <numFmt numFmtId="165" formatCode="#,##0_ ;[Red]\-#,##0\ "/>
      <alignment horizontal="center" vertical="center" textRotation="0" wrapText="0" indent="0" justifyLastLine="0" shrinkToFit="0" readingOrder="0"/>
    </dxf>
    <dxf>
      <numFmt numFmtId="165" formatCode="#,##0_ ;[Red]\-#,##0\ "/>
      <alignment horizontal="center" vertical="center" textRotation="0" wrapText="0" indent="0" justifyLastLine="0" shrinkToFit="0" readingOrder="0"/>
    </dxf>
    <dxf>
      <numFmt numFmtId="165" formatCode="#,##0_ ;[Red]\-#,##0\ "/>
      <alignment horizontal="center" vertical="center" textRotation="0" wrapText="0" indent="0" justifyLastLine="0" shrinkToFit="0" readingOrder="0"/>
    </dxf>
    <dxf>
      <numFmt numFmtId="165" formatCode="#,##0_ ;[Red]\-#,##0\ "/>
      <alignment horizontal="center" vertical="center" textRotation="0" wrapText="0" indent="0" justifyLastLine="0" shrinkToFit="0" readingOrder="0"/>
    </dxf>
    <dxf>
      <numFmt numFmtId="165" formatCode="#,##0_ ;[Red]\-#,##0\ "/>
      <alignment horizontal="center" vertical="center" textRotation="0" wrapText="0" indent="0" justifyLastLine="0" shrinkToFit="0" readingOrder="0"/>
    </dxf>
    <dxf>
      <numFmt numFmtId="165" formatCode="#,##0_ ;[Red]\-#,##0\ "/>
      <alignment horizontal="center" vertical="center" textRotation="0" wrapText="0" indent="0" justifyLastLine="0" shrinkToFit="0" readingOrder="0"/>
    </dxf>
    <dxf>
      <numFmt numFmtId="165" formatCode="#,##0_ ;[Red]\-#,##0\ "/>
      <alignment horizontal="center" vertical="center" textRotation="0" wrapText="0" indent="0" justifyLastLine="0" shrinkToFit="0" readingOrder="0"/>
    </dxf>
    <dxf>
      <numFmt numFmtId="165" formatCode="#,##0_ ;[Red]\-#,##0\ "/>
      <alignment horizontal="center" vertical="center" textRotation="0" wrapText="0" indent="0" justifyLastLine="0" shrinkToFit="0" readingOrder="0"/>
    </dxf>
    <dxf>
      <numFmt numFmtId="165" formatCode="#,##0_ ;[Red]\-#,##0\ "/>
      <alignment horizontal="center" vertical="center" textRotation="0" wrapText="0" indent="0" justifyLastLine="0" shrinkToFit="0" readingOrder="0"/>
    </dxf>
    <dxf>
      <numFmt numFmtId="165" formatCode="#,##0_ ;[Red]\-#,##0\ "/>
      <alignment horizontal="center" vertical="center" textRotation="0" wrapText="0" indent="0" justifyLastLine="0" shrinkToFit="0" readingOrder="0"/>
    </dxf>
    <dxf>
      <numFmt numFmtId="165" formatCode="#,##0_ ;[Red]\-#,##0\ "/>
      <alignment horizontal="center" vertical="center" textRotation="0" wrapText="0" indent="0" justifyLastLine="0" shrinkToFit="0" readingOrder="0"/>
    </dxf>
    <dxf>
      <numFmt numFmtId="165" formatCode="#,##0_ ;[Red]\-#,##0\ "/>
      <alignment horizontal="center" vertical="center" textRotation="0" wrapText="0" indent="0" justifyLastLine="0" shrinkToFit="0" readingOrder="0"/>
    </dxf>
    <dxf>
      <numFmt numFmtId="165" formatCode="#,##0_ ;[Red]\-#,##0\ "/>
      <alignment horizontal="center" vertical="center" textRotation="0" wrapText="0" indent="0" justifyLastLine="0" shrinkToFit="0" readingOrder="0"/>
    </dxf>
    <dxf>
      <numFmt numFmtId="165" formatCode="#,##0_ ;[Red]\-#,##0\ "/>
      <alignment horizontal="center" vertical="center" textRotation="0" wrapText="0" indent="0" justifyLastLine="0" shrinkToFit="0" readingOrder="0"/>
    </dxf>
    <dxf>
      <numFmt numFmtId="165" formatCode="#,##0_ ;[Red]\-#,##0\ "/>
      <alignment horizontal="center" vertical="center" textRotation="0" wrapText="0" indent="0" justifyLastLine="0" shrinkToFit="0" readingOrder="0"/>
    </dxf>
    <dxf>
      <numFmt numFmtId="165" formatCode="#,##0_ ;[Red]\-#,##0\ "/>
      <alignment horizontal="center" vertical="center" textRotation="0" wrapText="0" indent="0" justifyLastLine="0" shrinkToFit="0" readingOrder="0"/>
    </dxf>
    <dxf>
      <numFmt numFmtId="165" formatCode="#,##0_ ;[Red]\-#,##0\ "/>
      <alignment horizontal="center" vertical="center" textRotation="0" wrapText="0" indent="0" justifyLastLine="0" shrinkToFit="0" readingOrder="0"/>
    </dxf>
    <dxf>
      <numFmt numFmtId="165" formatCode="#,##0_ ;[Red]\-#,##0\ "/>
      <alignment horizontal="center" vertical="center" textRotation="0" wrapText="0" indent="0" justifyLastLine="0" shrinkToFit="0" readingOrder="0"/>
    </dxf>
    <dxf>
      <numFmt numFmtId="165" formatCode="#,##0_ ;[Red]\-#,##0\ "/>
      <alignment horizontal="center" vertical="center" textRotation="0" wrapText="0" indent="0" justifyLastLine="0" shrinkToFit="0" readingOrder="0"/>
    </dxf>
    <dxf>
      <numFmt numFmtId="165" formatCode="#,##0_ ;[Red]\-#,##0\ "/>
      <alignment horizontal="center" vertical="center" textRotation="0" wrapText="0" indent="0" justifyLastLine="0" shrinkToFit="0" readingOrder="0"/>
    </dxf>
    <dxf>
      <numFmt numFmtId="165" formatCode="#,##0_ ;[Red]\-#,##0\ "/>
      <alignment horizontal="center" vertical="center" textRotation="0" wrapText="0" indent="0" justifyLastLine="0" shrinkToFit="0" readingOrder="0"/>
    </dxf>
    <dxf>
      <numFmt numFmtId="165" formatCode="#,##0_ ;[Red]\-#,##0\ "/>
      <alignment horizontal="center" vertical="center" textRotation="0" wrapText="0" indent="0" justifyLastLine="0" shrinkToFit="0" readingOrder="0"/>
    </dxf>
    <dxf>
      <numFmt numFmtId="165" formatCode="#,##0_ ;[Red]\-#,##0\ "/>
      <alignment horizontal="center" vertical="center" textRotation="0" wrapText="0" indent="0" justifyLastLine="0" shrinkToFit="0" readingOrder="0"/>
    </dxf>
    <dxf>
      <numFmt numFmtId="165" formatCode="#,##0_ ;[Red]\-#,##0\ "/>
      <alignment horizontal="center" vertical="center" textRotation="0" wrapText="0" indent="0" justifyLastLine="0" shrinkToFit="0" readingOrder="0"/>
    </dxf>
    <dxf>
      <numFmt numFmtId="165" formatCode="#,##0_ ;[Red]\-#,##0\ "/>
      <alignment horizontal="center" vertical="center" textRotation="0" wrapText="0" indent="0" justifyLastLine="0" shrinkToFit="0" readingOrder="0"/>
    </dxf>
    <dxf>
      <numFmt numFmtId="165" formatCode="#,##0_ ;[Red]\-#,##0\ "/>
      <alignment horizontal="center" vertical="center" textRotation="0" wrapText="0" indent="0" justifyLastLine="0" shrinkToFit="0" readingOrder="0"/>
    </dxf>
    <dxf>
      <numFmt numFmtId="165" formatCode="#,##0_ ;[Red]\-#,##0\ "/>
      <alignment horizontal="center" vertical="center" textRotation="0" wrapText="0" indent="0" justifyLastLine="0" shrinkToFit="0" readingOrder="0"/>
    </dxf>
    <dxf>
      <numFmt numFmtId="165" formatCode="#,##0_ ;[Red]\-#,##0\ "/>
      <alignment horizontal="center" vertical="center" textRotation="0" wrapText="0" indent="0" justifyLastLine="0" shrinkToFit="0" readingOrder="0"/>
    </dxf>
    <dxf>
      <numFmt numFmtId="165" formatCode="#,##0_ ;[Red]\-#,##0\ "/>
      <alignment horizontal="center" vertical="center" textRotation="0" wrapText="0" indent="0" justifyLastLine="0" shrinkToFit="0" readingOrder="0"/>
    </dxf>
    <dxf>
      <numFmt numFmtId="165" formatCode="#,##0_ ;[Red]\-#,##0\ "/>
      <alignment horizontal="center" textRotation="0" wrapText="0" indent="0" justifyLastLine="0" shrinkToFit="0" readingOrder="0"/>
    </dxf>
    <dxf>
      <fill>
        <patternFill patternType="solid">
          <fgColor indexed="64"/>
          <bgColor theme="9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general" vertical="bottom" textRotation="0" wrapText="0" indent="0" justifyLastLine="0" shrinkToFit="0" readingOrder="0"/>
    </dxf>
    <dxf>
      <border diagonalUp="0" diagonalDown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</dxf>
    <dxf>
      <fill>
        <patternFill patternType="solid">
          <fgColor rgb="FFE2EFDA"/>
          <bgColor rgb="FFE2EFDA"/>
        </patternFill>
      </fill>
    </dxf>
    <dxf>
      <fill>
        <patternFill patternType="solid">
          <fgColor rgb="FFE2EFDA"/>
          <bgColor rgb="FFE2EFDA"/>
        </patternFill>
      </fill>
    </dxf>
    <dxf>
      <font>
        <b/>
        <color rgb="FF000000"/>
      </font>
    </dxf>
    <dxf>
      <font>
        <b/>
        <color rgb="FF000000"/>
      </font>
    </dxf>
    <dxf>
      <font>
        <b/>
        <color rgb="FF000000"/>
      </font>
      <border>
        <top style="double">
          <color rgb="FF70AD47"/>
        </top>
      </border>
    </dxf>
    <dxf>
      <font>
        <b/>
        <color rgb="FFFFFFFF"/>
      </font>
      <fill>
        <patternFill patternType="solid">
          <fgColor rgb="FF70AD47"/>
          <bgColor rgb="FF70AD47"/>
        </patternFill>
      </fill>
    </dxf>
    <dxf>
      <font>
        <color rgb="FF000000"/>
      </font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</dxfs>
  <tableStyles count="2" defaultTableStyle="TableStyleMedium2" defaultPivotStyle="PivotStyleLight16">
    <tableStyle name="Tabellformat 1" pivot="0" count="0" xr9:uid="{853076C7-D399-4D81-8E23-95DFB7AA39DF}"/>
    <tableStyle name="TableStyleMedium7 2" pivot="0" count="7" xr9:uid="{58D8E12E-3826-4F41-8B31-ADC295CA4529}">
      <tableStyleElement type="wholeTable" dxfId="46"/>
      <tableStyleElement type="headerRow" dxfId="45"/>
      <tableStyleElement type="totalRow" dxfId="44"/>
      <tableStyleElement type="firstColumn" dxfId="43"/>
      <tableStyleElement type="lastColumn" dxfId="42"/>
      <tableStyleElement type="firstRowStripe" dxfId="41"/>
      <tableStyleElement type="firstColumnStripe" dxfId="4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10" Type="http://schemas.openxmlformats.org/officeDocument/2006/relationships/customXml" Target="../customXml/item3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1.png@01DA1625.51E95C60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2533650</xdr:colOff>
      <xdr:row>0</xdr:row>
      <xdr:rowOff>35984</xdr:rowOff>
    </xdr:from>
    <xdr:to>
      <xdr:col>11</xdr:col>
      <xdr:colOff>716280</xdr:colOff>
      <xdr:row>3</xdr:row>
      <xdr:rowOff>56939</xdr:rowOff>
    </xdr:to>
    <xdr:pic>
      <xdr:nvPicPr>
        <xdr:cNvPr id="2" name="Bildobjekt 1" descr="En bild som visar Teckensnitt, text, Grafik, grafisk design&#10;&#10;Automatiskt genererad beskrivning">
          <a:extLst>
            <a:ext uri="{FF2B5EF4-FFF2-40B4-BE49-F238E27FC236}">
              <a16:creationId xmlns:a16="http://schemas.microsoft.com/office/drawing/2014/main" id="{2D184104-C07A-42F5-8D01-1BA2898B83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81350" y="35984"/>
          <a:ext cx="2786802" cy="61722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Elsa Ott" id="{267A64FE-5C44-48F7-8E95-BFFD227B25DA}" userId="S::elsa@impossibleplastics.com::e2bf2e2c-9344-4f32-9642-2eb557db3eca" providerId="AD"/>
  <person displayName="William Holmberg" id="{449CD463-4470-412C-BA8A-37834F871925}" userId="S::william@impossibleplastics.com::030c3755-5b67-483e-8f50-a349b8fc9f34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498C228C-3E0F-418F-98A1-BA54CBB24541}" name="Tabell241113" displayName="Tabell241113" ref="B5:AQ46" totalsRowShown="0" headerRowDxfId="39" tableBorderDxfId="38" headerRowCellStyle="Normal" dataCellStyle="Tusental">
  <autoFilter ref="B5:AQ46" xr:uid="{75B57542-B250-4F4E-AFC0-6E3A04C320E4}"/>
  <tableColumns count="42">
    <tableColumn id="1" xr3:uid="{F3CEC6B5-E0A8-45B3-9CEC-8D9BEE886C49}" name="POST" dataDxfId="37" dataCellStyle="Tusental"/>
    <tableColumn id="2" xr3:uid="{17C55A0B-E119-42E1-9AF9-D0CB98D25B40}" name="Augusti" dataCellStyle="Tusental"/>
    <tableColumn id="3" xr3:uid="{FD8AB9DE-88DD-45C6-91B9-64A3A7B3310A}" name="September" dataDxfId="36" dataCellStyle="Tusental"/>
    <tableColumn id="4" xr3:uid="{54DA52D8-C10B-403A-8E4F-EA2632225608}" name="Oktober" dataCellStyle="Tusental"/>
    <tableColumn id="5" xr3:uid="{C3829291-8E03-4464-BF02-6AD888137DC4}" name="November" dataCellStyle="Tusental"/>
    <tableColumn id="6" xr3:uid="{2B7A4578-11F5-498A-B188-8C4716D58FFF}" name="December" dataCellStyle="Tusental"/>
    <tableColumn id="7" xr3:uid="{7AAB91F4-A979-457A-BD2C-A078873B7DD4}" name="January" dataDxfId="35" dataCellStyle="Tusental"/>
    <tableColumn id="8" xr3:uid="{6C7726DE-EB13-416B-847A-BA47BF820B1F}" name="February" dataDxfId="34" dataCellStyle="Tusental"/>
    <tableColumn id="9" xr3:uid="{63DF0FF4-D836-4F53-8442-46046FD42F9F}" name="March" dataDxfId="33" dataCellStyle="Tusental"/>
    <tableColumn id="10" xr3:uid="{1A1C7E1F-0525-46C7-81A8-B0383C116893}" name="April" dataDxfId="32" dataCellStyle="Tusental"/>
    <tableColumn id="11" xr3:uid="{99A8F477-4969-4F97-AD25-F22C4C8F0875}" name="May" dataDxfId="31" dataCellStyle="Tusental"/>
    <tableColumn id="12" xr3:uid="{9674080C-4DDC-41F6-A742-7B5AC7DC537C}" name="June" dataDxfId="30" dataCellStyle="Tusental"/>
    <tableColumn id="13" xr3:uid="{A3C51323-AB15-46EB-99E5-272386E65606}" name="July" dataDxfId="29" dataCellStyle="Tusental"/>
    <tableColumn id="23" xr3:uid="{C465C6E4-E098-495D-B241-CE35F00E7F83}" name="aug-25" dataDxfId="28" dataCellStyle="Tusental"/>
    <tableColumn id="24" xr3:uid="{C0C668FA-7B65-4405-9278-51FECEBC738E}" name="sep-25" dataDxfId="27" dataCellStyle="Tusental"/>
    <tableColumn id="25" xr3:uid="{30788F19-3022-486A-A9AD-DEE9039FD5B4}" name="oct-25" dataDxfId="26" dataCellStyle="Tusental"/>
    <tableColumn id="26" xr3:uid="{39CAB0FF-3504-4095-99CD-9C3D3C83E4B6}" name="nov-25" dataDxfId="25" dataCellStyle="Tusental"/>
    <tableColumn id="27" xr3:uid="{34FED9FA-3B0F-40B7-8506-D673E93852C1}" name="dec-25" dataDxfId="24" dataCellStyle="Tusental"/>
    <tableColumn id="14" xr3:uid="{A486196D-D7FE-4C4C-BFB8-55E4AEFA09BE}" name="jan-26" dataDxfId="23" dataCellStyle="Tusental">
      <calculatedColumnFormula>T5*0.8</calculatedColumnFormula>
    </tableColumn>
    <tableColumn id="15" xr3:uid="{8765B5CC-C553-4E00-94D8-F4FE3FB355C4}" name="feb-26" dataDxfId="22" dataCellStyle="Tusental">
      <calculatedColumnFormula>U5*0.8</calculatedColumnFormula>
    </tableColumn>
    <tableColumn id="16" xr3:uid="{5BC70DC4-B5B2-45C2-B966-E6EA4F2F81A0}" name="mar-26" dataDxfId="21" dataCellStyle="Tusental">
      <calculatedColumnFormula>V5*0.8</calculatedColumnFormula>
    </tableColumn>
    <tableColumn id="17" xr3:uid="{E4CAA208-FB53-4C1B-B687-F6C5C89DCB7C}" name="apr-26" dataDxfId="20" dataCellStyle="Tusental"/>
    <tableColumn id="18" xr3:uid="{62B47D26-A242-4C3E-AAFB-2A1F09E8CE61}" name="may 2026" dataDxfId="19" dataCellStyle="Tusental"/>
    <tableColumn id="19" xr3:uid="{795C5C63-98F5-4AE2-A665-4A9B35B8FDFE}" name="jun-26" dataDxfId="18" dataCellStyle="Tusental"/>
    <tableColumn id="20" xr3:uid="{EBAA6DAA-FE27-4B58-ABA6-73C137E15BDD}" name="jul-26" dataDxfId="17" dataCellStyle="Tusental"/>
    <tableColumn id="21" xr3:uid="{C7EC9966-2427-40D7-B69F-91686D3F54D2}" name="aug-26" dataDxfId="16" dataCellStyle="Tusental"/>
    <tableColumn id="22" xr3:uid="{894C4AB6-3C92-48FB-9E70-3D49C3C475D3}" name="sep-26" dataDxfId="15" dataCellStyle="Tusental"/>
    <tableColumn id="28" xr3:uid="{661CEB8A-9ACC-466D-BFC2-4D6F9A5FCC5C}" name="oct 2026" dataDxfId="14" dataCellStyle="Tusental"/>
    <tableColumn id="29" xr3:uid="{DD592D45-C074-4452-A382-59B2E1EF4A2B}" name="nov-26" dataDxfId="13" dataCellStyle="Tusental"/>
    <tableColumn id="30" xr3:uid="{8FE6F891-58AC-43ED-BB14-1C9ED904BE37}" name="dec-26" dataDxfId="12" dataCellStyle="Tusental"/>
    <tableColumn id="31" xr3:uid="{0D38C703-23E5-4B7B-8564-796ACC522912}" name="jan-27" dataDxfId="11" dataCellStyle="Tusental"/>
    <tableColumn id="32" xr3:uid="{022E998A-C691-4D6E-8145-FE75F0DBFE54}" name="feb-27" dataDxfId="10" dataCellStyle="Tusental"/>
    <tableColumn id="33" xr3:uid="{C022F899-2FA3-46D9-97B6-BAC9C5859486}" name="mar-27" dataDxfId="9" dataCellStyle="Tusental"/>
    <tableColumn id="34" xr3:uid="{83CBEEB0-7551-42C1-8653-9F2B80E5D529}" name="apr-272" dataDxfId="8" dataCellStyle="Tusental"/>
    <tableColumn id="35" xr3:uid="{89694076-438F-4390-8F9A-E0D57B1AEAAA}" name="may 2027" dataDxfId="7" dataCellStyle="Tusental"/>
    <tableColumn id="36" xr3:uid="{D354E3D3-214B-4926-87A0-BD70DD5FB571}" name="jun-27" dataDxfId="6" dataCellStyle="Tusental"/>
    <tableColumn id="37" xr3:uid="{CBB1A954-1376-44CA-87FF-67BE196ED90C}" name="jul-27" dataDxfId="5" dataCellStyle="Tusental"/>
    <tableColumn id="38" xr3:uid="{8DE12B01-8234-48F4-82F3-BF520FC3FE6C}" name="aug-27" dataDxfId="4" dataCellStyle="Tusental"/>
    <tableColumn id="39" xr3:uid="{3CD12F11-57C0-4869-A137-5C18A265983C}" name="sep-27" dataDxfId="3" dataCellStyle="Tusental"/>
    <tableColumn id="40" xr3:uid="{A7D5E460-9D85-4655-9FC1-A150B027D1BA}" name="oct 2027" dataDxfId="2" dataCellStyle="Tusental"/>
    <tableColumn id="41" xr3:uid="{4141DF59-A5AC-42DC-BE97-B30B76D5C566}" name="nov-27" dataDxfId="1" dataCellStyle="Tusental"/>
    <tableColumn id="42" xr3:uid="{EC14F7A4-8BF4-4543-9322-39D6250860FE}" name="dec-27" dataDxfId="0" dataCellStyle="Tusental"/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J6" dT="2025-02-14T16:02:43.99" personId="{267A64FE-5C44-48F7-8E95-BFFD227B25DA}" id="{00BF96B0-59B4-4A67-B720-C0EDFBFDED7C}">
    <text>Utlägg, ränta, dyr värme / vattenkostnad</text>
  </threadedComment>
  <threadedComment ref="J6" dT="2025-02-19T07:55:41.91" personId="{267A64FE-5C44-48F7-8E95-BFFD227B25DA}" id="{CCA3CAF2-D7E5-4175-AB70-ACC516BF33B4}" parentId="{00BF96B0-59B4-4A67-B720-C0EDFBFDED7C}">
    <text xml:space="preserve">Schenker </text>
  </threadedComment>
  <threadedComment ref="I9" dT="2025-01-29T13:20:21.12" personId="{449CD463-4470-412C-BA8A-37834F871925}" id="{74ED7FFB-6C3C-47DE-AB02-D8DE07C5F015}">
    <text>Prognos</text>
  </threadedComment>
  <threadedComment ref="I9" dT="2025-02-28T08:40:49.67" personId="{267A64FE-5C44-48F7-8E95-BFFD227B25DA}" id="{D22FE678-EBEF-4518-BFAD-9ADFB358F22A}" parentId="{74ED7FFB-6C3C-47DE-AB02-D8DE07C5F015}">
    <text>236749 vad vi fått från Factoring</text>
  </threadedComment>
  <threadedComment ref="J9" dT="2025-01-29T13:21:33.83" personId="{267A64FE-5C44-48F7-8E95-BFFD227B25DA}" id="{C7CAB56E-EDBD-4E08-B593-169C7E3B92B1}">
    <text>10000 pallar för 90kr st (112,5 ink moms)</text>
  </threadedComment>
  <threadedComment ref="K9" dT="2025-01-29T13:22:08.80" personId="{267A64FE-5C44-48F7-8E95-BFFD227B25DA}" id="{7C90C09A-2B0B-42B6-BE7E-751AA9821B1F}">
    <text>12000 pallar för 90 kr st (112,5 ink moms)</text>
  </threadedComment>
  <threadedComment ref="M9" dT="2025-01-29T13:22:50.73" personId="{267A64FE-5C44-48F7-8E95-BFFD227B25DA}" id="{8259B90E-1041-42F0-AA9A-A2BB70B0CAAC}">
    <text>80 % av full kapacitet 3 skift</text>
  </threadedComment>
  <threadedComment ref="O9" dT="2025-01-29T13:23:07.18" personId="{267A64FE-5C44-48F7-8E95-BFFD227B25DA}" id="{5F2BF1DC-60F0-4A44-BF97-C6AD0BB2ACCC}">
    <text>Full kapacitet 3 skift</text>
  </threadedComment>
  <threadedComment ref="Q9" dT="2025-01-29T13:23:20.74" personId="{267A64FE-5C44-48F7-8E95-BFFD227B25DA}" id="{F932C0E7-C8ED-4E09-A1D9-483302A74BAC}">
    <text>80 % av full kapacitet 5 skift</text>
  </threadedComment>
  <threadedComment ref="K15" dT="2025-02-28T13:57:19.87" personId="{267A64FE-5C44-48F7-8E95-BFFD227B25DA}" id="{5ED6C74C-A2B4-4C45-9789-63CEC2B5A6B4}">
    <text>Jan Holmberg (?)</text>
  </threadedComment>
  <threadedComment ref="G21" dT="2024-10-15T12:53:00.21" personId="{267A64FE-5C44-48F7-8E95-BFFD227B25DA}" id="{5F32572F-2E69-4D9F-B6CA-165160C6FA5A}">
    <text>Marcus</text>
  </threadedComment>
  <threadedComment ref="O21" dT="2024-10-15T12:54:06.69" personId="{267A64FE-5C44-48F7-8E95-BFFD227B25DA}" id="{FD621133-10DC-4F71-8B9E-719C4C2B0217}">
    <text>Ny säljare</text>
  </threadedComment>
  <threadedComment ref="K22" dT="2025-01-23T10:31:45.45" personId="{267A64FE-5C44-48F7-8E95-BFFD227B25DA}" id="{F4D460AC-5F5B-4FF7-A3DE-E683CE683E34}">
    <text>3 skift</text>
  </threadedComment>
  <threadedComment ref="J24" dT="2025-02-18T07:28:53.65" personId="{267A64FE-5C44-48F7-8E95-BFFD227B25DA}" id="{F1FFC445-7318-4150-AFD3-E324EE238306}">
    <text>Slutskatt, omräkning moms, prel skatt</text>
  </threadedComment>
  <threadedComment ref="H30" dT="2024-12-13T09:42:32.92" personId="{267A64FE-5C44-48F7-8E95-BFFD227B25DA}" id="{CC53487B-FA62-4B02-8110-F2876B19C386}">
    <text>Ventilation + växellåda</text>
  </threadedComment>
  <threadedComment ref="H30" dT="2025-01-24T15:40:57.93" personId="{267A64FE-5C44-48F7-8E95-BFFD227B25DA}" id="{E571D7B3-897B-4FB7-811A-B9156F3C8C7E}" parentId="{CC53487B-FA62-4B02-8110-F2876B19C386}">
    <text>70000 WIMAO</text>
  </threadedComment>
  <threadedComment ref="I30" dT="2024-12-17T10:05:54.14" personId="{267A64FE-5C44-48F7-8E95-BFFD227B25DA}" id="{877A4EE9-A884-4308-9C86-CB227A09C3BA}">
    <text xml:space="preserve">Banor för moldbyte
</text>
  </threadedComment>
  <threadedComment ref="J30" dT="2025-02-06T08:06:52.11" personId="{267A64FE-5C44-48F7-8E95-BFFD227B25DA}" id="{59960030-E9B9-4901-ADB1-F1439616FEB9}">
    <text>Banor för mouldbyte delbetalning 311942/2</text>
  </threadedComment>
  <threadedComment ref="J30" dT="2025-02-20T14:28:31.78" personId="{267A64FE-5C44-48F7-8E95-BFFD227B25DA}" id="{C0FA6C3A-7B06-43F0-8F67-7187210D64BB}" parentId="{59960030-E9B9-4901-ADB1-F1439616FEB9}">
    <text>33681 jinert flytt av mould</text>
  </threadedComment>
  <threadedComment ref="K30" dT="2025-02-06T08:07:06.76" personId="{267A64FE-5C44-48F7-8E95-BFFD227B25DA}" id="{2C5F250A-123C-43DC-9A24-D50E67EBA620}">
    <text>Banor för mouldbyte delbetalning 311942/2</text>
  </threadedComment>
  <threadedComment ref="J31" dT="2025-02-12T16:02:30.36" personId="{267A64FE-5C44-48F7-8E95-BFFD227B25DA}" id="{7A19F23E-7139-48A6-AA6C-EE877E2A9E09}">
    <text>Motala kommun</text>
  </threadedComment>
  <threadedComment ref="J32" dT="2025-02-17T13:20:27.96" personId="{267A64FE-5C44-48F7-8E95-BFFD227B25DA}" id="{E30DEE85-1958-4284-A4E6-CF97C8597496}">
    <text>Streckkoder blomsterlandet 2000kr</text>
  </threadedComment>
  <threadedComment ref="I39" dT="2025-01-07T15:04:17.55" personId="{267A64FE-5C44-48F7-8E95-BFFD227B25DA}" id="{E94E0063-1540-4CAE-8B32-FA0552EDB31D}">
    <text xml:space="preserve">Stål till kragar
</text>
  </threadedComment>
  <threadedComment ref="S42" dT="2025-01-08T10:53:07.92" personId="{267A64FE-5C44-48F7-8E95-BFFD227B25DA}" id="{6076AC5A-D237-44E1-8F15-D34178BB3492}">
    <text xml:space="preserve">395297.11 är unexpected expenses
</text>
  </threadedComment>
  <threadedComment ref="H43" dT="2024-12-02T13:57:52.08" personId="{267A64FE-5C44-48F7-8E95-BFFD227B25DA}" id="{2A58D685-4735-4B83-871A-284E6751A7DF}">
    <text xml:space="preserve">Moms + korrigerad moms Q1 2024
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microsoft.com/office/2017/10/relationships/threadedComment" Target="../threadedComments/threadedComment1.xml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02065B-F759-4C81-84B9-970F2E510CB2}">
  <sheetPr>
    <tabColor theme="9"/>
    <pageSetUpPr fitToPage="1"/>
  </sheetPr>
  <dimension ref="A2:AQ91"/>
  <sheetViews>
    <sheetView showGridLines="0" tabSelected="1" zoomScale="90" zoomScaleNormal="90" workbookViewId="0">
      <pane xSplit="2" topLeftCell="J1" activePane="topRight" state="frozen"/>
      <selection pane="topRight" activeCell="B48" sqref="B48:K86"/>
    </sheetView>
  </sheetViews>
  <sheetFormatPr defaultRowHeight="14.5" x14ac:dyDescent="0.35"/>
  <cols>
    <col min="1" max="1" width="9.7265625" customWidth="1"/>
    <col min="2" max="2" width="46.26953125" bestFit="1" customWidth="1"/>
    <col min="3" max="3" width="16.1796875" hidden="1" customWidth="1"/>
    <col min="4" max="7" width="13.81640625" hidden="1" customWidth="1"/>
    <col min="8" max="8" width="10.54296875" hidden="1" customWidth="1"/>
    <col min="9" max="9" width="14.26953125" hidden="1" customWidth="1"/>
    <col min="10" max="10" width="11.54296875" bestFit="1" customWidth="1"/>
    <col min="11" max="14" width="11.26953125" bestFit="1" customWidth="1"/>
    <col min="15" max="19" width="11" bestFit="1" customWidth="1"/>
    <col min="20" max="20" width="11.81640625" bestFit="1" customWidth="1"/>
    <col min="21" max="22" width="11.453125" bestFit="1" customWidth="1"/>
    <col min="23" max="23" width="11" bestFit="1" customWidth="1"/>
    <col min="24" max="25" width="12.1796875" bestFit="1" customWidth="1"/>
    <col min="26" max="26" width="11" bestFit="1" customWidth="1"/>
    <col min="27" max="28" width="12.1796875" bestFit="1" customWidth="1"/>
    <col min="29" max="29" width="11.453125" bestFit="1" customWidth="1"/>
    <col min="30" max="30" width="15" bestFit="1" customWidth="1"/>
    <col min="31" max="32" width="16" bestFit="1" customWidth="1"/>
    <col min="33" max="33" width="15" bestFit="1" customWidth="1"/>
    <col min="34" max="43" width="16" bestFit="1" customWidth="1"/>
  </cols>
  <sheetData>
    <row r="2" spans="1:43" s="2" customFormat="1" ht="16" x14ac:dyDescent="0.4">
      <c r="A2" s="1" t="s">
        <v>58</v>
      </c>
    </row>
    <row r="3" spans="1:43" x14ac:dyDescent="0.35">
      <c r="A3" s="3" t="s">
        <v>83</v>
      </c>
    </row>
    <row r="4" spans="1:43" x14ac:dyDescent="0.35">
      <c r="A4" s="84"/>
    </row>
    <row r="5" spans="1:43" s="7" customFormat="1" ht="16" x14ac:dyDescent="0.4">
      <c r="B5" s="40" t="s">
        <v>64</v>
      </c>
      <c r="C5" s="40" t="s">
        <v>0</v>
      </c>
      <c r="D5" s="43" t="s">
        <v>1</v>
      </c>
      <c r="E5" s="40" t="s">
        <v>2</v>
      </c>
      <c r="F5" s="40" t="s">
        <v>3</v>
      </c>
      <c r="G5" s="40" t="s">
        <v>4</v>
      </c>
      <c r="H5" s="40" t="s">
        <v>5</v>
      </c>
      <c r="I5" s="67" t="s">
        <v>6</v>
      </c>
      <c r="J5" s="67" t="s">
        <v>7</v>
      </c>
      <c r="K5" s="67" t="s">
        <v>8</v>
      </c>
      <c r="L5" s="67" t="s">
        <v>9</v>
      </c>
      <c r="M5" s="67" t="s">
        <v>10</v>
      </c>
      <c r="N5" s="67" t="s">
        <v>11</v>
      </c>
      <c r="O5" s="67" t="s">
        <v>12</v>
      </c>
      <c r="P5" s="67" t="s">
        <v>13</v>
      </c>
      <c r="Q5" s="67" t="s">
        <v>14</v>
      </c>
      <c r="R5" s="67" t="s">
        <v>15</v>
      </c>
      <c r="S5" s="67" t="s">
        <v>16</v>
      </c>
      <c r="T5" s="68" t="s">
        <v>17</v>
      </c>
      <c r="U5" s="68" t="s">
        <v>18</v>
      </c>
      <c r="V5" s="68" t="s">
        <v>19</v>
      </c>
      <c r="W5" s="68" t="s">
        <v>20</v>
      </c>
      <c r="X5" s="68" t="s">
        <v>21</v>
      </c>
      <c r="Y5" s="68" t="s">
        <v>22</v>
      </c>
      <c r="Z5" s="68" t="s">
        <v>23</v>
      </c>
      <c r="AA5" s="68" t="s">
        <v>24</v>
      </c>
      <c r="AB5" s="68" t="s">
        <v>25</v>
      </c>
      <c r="AC5" s="67" t="s">
        <v>26</v>
      </c>
      <c r="AD5" s="68" t="s">
        <v>27</v>
      </c>
      <c r="AE5" s="68" t="s">
        <v>28</v>
      </c>
      <c r="AF5" s="68" t="s">
        <v>29</v>
      </c>
      <c r="AG5" s="68" t="s">
        <v>30</v>
      </c>
      <c r="AH5" s="68" t="s">
        <v>31</v>
      </c>
      <c r="AI5" s="68" t="s">
        <v>32</v>
      </c>
      <c r="AJ5" s="67" t="s">
        <v>33</v>
      </c>
      <c r="AK5" s="68" t="s">
        <v>34</v>
      </c>
      <c r="AL5" s="68" t="s">
        <v>35</v>
      </c>
      <c r="AM5" s="68" t="s">
        <v>36</v>
      </c>
      <c r="AN5" s="68" t="s">
        <v>37</v>
      </c>
      <c r="AO5" s="67" t="s">
        <v>38</v>
      </c>
      <c r="AP5" s="68" t="s">
        <v>39</v>
      </c>
      <c r="AQ5" s="68" t="s">
        <v>40</v>
      </c>
    </row>
    <row r="6" spans="1:43" s="6" customFormat="1" ht="16.5" thickBot="1" x14ac:dyDescent="0.45">
      <c r="B6" s="41" t="s">
        <v>63</v>
      </c>
      <c r="C6" s="44">
        <v>0</v>
      </c>
      <c r="D6" s="45">
        <v>788733.47</v>
      </c>
      <c r="E6" s="44">
        <v>803897.47</v>
      </c>
      <c r="F6" s="44">
        <v>749764.26</v>
      </c>
      <c r="G6" s="44">
        <v>0</v>
      </c>
      <c r="H6" s="46">
        <v>0</v>
      </c>
      <c r="I6" s="69">
        <v>552034.55000000005</v>
      </c>
      <c r="J6" s="69">
        <v>0</v>
      </c>
      <c r="K6" s="69">
        <f t="shared" ref="K6:AQ6" si="0">(J6+J17)-J45</f>
        <v>-1353325.7499999998</v>
      </c>
      <c r="L6" s="69">
        <f t="shared" si="0"/>
        <v>-1256470.7374999998</v>
      </c>
      <c r="M6" s="69">
        <f t="shared" si="0"/>
        <v>-1863570.7374999998</v>
      </c>
      <c r="N6" s="69">
        <f t="shared" si="0"/>
        <v>-1977470.7374999998</v>
      </c>
      <c r="O6" s="69">
        <f t="shared" si="0"/>
        <v>-4006820.7374999998</v>
      </c>
      <c r="P6" s="69">
        <f t="shared" si="0"/>
        <v>-3804007.7374999998</v>
      </c>
      <c r="Q6" s="69">
        <f t="shared" si="0"/>
        <v>-3601194.7374999998</v>
      </c>
      <c r="R6" s="69">
        <f t="shared" si="0"/>
        <v>-5636611.7374999998</v>
      </c>
      <c r="S6" s="69">
        <f t="shared" si="0"/>
        <v>-6796828.7374999998</v>
      </c>
      <c r="T6" s="69">
        <f t="shared" si="0"/>
        <v>-3613453.8474999992</v>
      </c>
      <c r="U6" s="69">
        <f t="shared" si="0"/>
        <v>-3000860.4999999991</v>
      </c>
      <c r="V6" s="69">
        <f t="shared" si="0"/>
        <v>-261681.42999999924</v>
      </c>
      <c r="W6" s="69">
        <f t="shared" si="0"/>
        <v>-436998.70080213342</v>
      </c>
      <c r="X6" s="69">
        <f t="shared" si="0"/>
        <v>-2902790.4414037308</v>
      </c>
      <c r="Y6" s="69">
        <f t="shared" si="0"/>
        <v>-2899504.8222058611</v>
      </c>
      <c r="Z6" s="69">
        <f t="shared" si="0"/>
        <v>-1211625.7522058613</v>
      </c>
      <c r="AA6" s="69">
        <f t="shared" si="0"/>
        <v>-4985452.6545053292</v>
      </c>
      <c r="AB6" s="69">
        <f t="shared" si="0"/>
        <v>-1597776.4745053295</v>
      </c>
      <c r="AC6" s="69">
        <f t="shared" si="0"/>
        <v>1111999.7054946702</v>
      </c>
      <c r="AD6" s="69">
        <f t="shared" si="0"/>
        <v>3131400.8854946699</v>
      </c>
      <c r="AE6" s="69">
        <f t="shared" si="0"/>
        <v>8071277.0654946696</v>
      </c>
      <c r="AF6" s="69">
        <f t="shared" si="0"/>
        <v>12642253.245494669</v>
      </c>
      <c r="AG6" s="69">
        <f t="shared" si="0"/>
        <v>11804884.425494671</v>
      </c>
      <c r="AH6" s="69">
        <f t="shared" si="0"/>
        <v>16573240.605494671</v>
      </c>
      <c r="AI6" s="69">
        <f t="shared" si="0"/>
        <v>20551696.78549467</v>
      </c>
      <c r="AJ6" s="69">
        <f t="shared" si="0"/>
        <v>20101577.96549467</v>
      </c>
      <c r="AK6" s="69">
        <f t="shared" si="0"/>
        <v>24869934.14549467</v>
      </c>
      <c r="AL6" s="69">
        <f t="shared" si="0"/>
        <v>28848390.325494669</v>
      </c>
      <c r="AM6" s="69">
        <f t="shared" si="0"/>
        <v>22254271.505494669</v>
      </c>
      <c r="AN6" s="69">
        <f t="shared" si="0"/>
        <v>27022627.685494669</v>
      </c>
      <c r="AO6" s="69">
        <f t="shared" si="0"/>
        <v>31001083.865494668</v>
      </c>
      <c r="AP6" s="69">
        <f t="shared" si="0"/>
        <v>32086965.045494668</v>
      </c>
      <c r="AQ6" s="69">
        <f t="shared" si="0"/>
        <v>36855321.225494668</v>
      </c>
    </row>
    <row r="7" spans="1:43" s="6" customFormat="1" ht="16.5" thickTop="1" x14ac:dyDescent="0.4">
      <c r="B7" s="51" t="s">
        <v>65</v>
      </c>
      <c r="C7" s="52"/>
      <c r="D7" s="52"/>
      <c r="E7" s="52"/>
      <c r="F7" s="52"/>
      <c r="G7" s="52"/>
      <c r="H7" s="50"/>
      <c r="I7" s="70"/>
      <c r="J7" s="70"/>
      <c r="K7" s="70"/>
      <c r="L7" s="70"/>
      <c r="M7" s="70"/>
      <c r="N7" s="70"/>
      <c r="O7" s="71"/>
      <c r="P7" s="71"/>
      <c r="Q7" s="71"/>
      <c r="R7" s="71"/>
      <c r="S7" s="71"/>
      <c r="T7" s="70"/>
      <c r="U7" s="70"/>
      <c r="V7" s="70"/>
      <c r="W7" s="70"/>
      <c r="X7" s="70"/>
      <c r="Y7" s="70"/>
      <c r="Z7" s="70"/>
      <c r="AA7" s="70"/>
      <c r="AB7" s="70"/>
      <c r="AC7" s="70"/>
      <c r="AD7" s="70"/>
      <c r="AE7" s="70"/>
      <c r="AF7" s="70"/>
      <c r="AG7" s="70"/>
      <c r="AH7" s="70"/>
      <c r="AI7" s="70"/>
      <c r="AJ7" s="70"/>
      <c r="AK7" s="70"/>
      <c r="AL7" s="70"/>
      <c r="AM7" s="70"/>
      <c r="AN7" s="70"/>
      <c r="AO7" s="70"/>
      <c r="AP7" s="70"/>
      <c r="AQ7" s="70"/>
    </row>
    <row r="8" spans="1:43" s="6" customFormat="1" ht="16" x14ac:dyDescent="0.4">
      <c r="B8" s="58" t="s">
        <v>69</v>
      </c>
      <c r="C8" s="9"/>
      <c r="D8" s="12"/>
      <c r="E8" s="9"/>
      <c r="F8" s="9"/>
      <c r="G8" s="9"/>
      <c r="H8" s="29"/>
      <c r="I8" s="72"/>
      <c r="J8" s="72"/>
      <c r="K8" s="72"/>
      <c r="L8" s="72"/>
      <c r="M8" s="72"/>
      <c r="N8" s="72"/>
      <c r="O8" s="73"/>
      <c r="P8" s="73"/>
      <c r="Q8" s="73"/>
      <c r="R8" s="73"/>
      <c r="S8" s="73"/>
      <c r="T8" s="72"/>
      <c r="U8" s="72"/>
      <c r="V8" s="72"/>
      <c r="W8" s="72"/>
      <c r="X8" s="72"/>
      <c r="Y8" s="72"/>
      <c r="Z8" s="72"/>
      <c r="AA8" s="72"/>
      <c r="AB8" s="72"/>
      <c r="AC8" s="72"/>
      <c r="AD8" s="72"/>
      <c r="AE8" s="72"/>
      <c r="AF8" s="72"/>
      <c r="AG8" s="72"/>
      <c r="AH8" s="72"/>
      <c r="AI8" s="72"/>
      <c r="AJ8" s="72"/>
      <c r="AK8" s="72"/>
      <c r="AL8" s="72"/>
      <c r="AM8" s="72"/>
      <c r="AN8" s="72"/>
      <c r="AO8" s="72"/>
      <c r="AP8" s="72"/>
      <c r="AQ8" s="72"/>
    </row>
    <row r="9" spans="1:43" ht="16" x14ac:dyDescent="0.4">
      <c r="B9" s="86" t="s">
        <v>42</v>
      </c>
      <c r="C9" s="10"/>
      <c r="D9" s="13"/>
      <c r="E9" s="10">
        <f>43625+374125+133000+2992+4046+3138+24000+3281+3580+3560+26188</f>
        <v>621535</v>
      </c>
      <c r="F9" s="10">
        <v>639233</v>
      </c>
      <c r="G9" s="10">
        <v>5788</v>
      </c>
      <c r="H9" s="30">
        <v>0</v>
      </c>
      <c r="I9" s="73">
        <f>236748.66+4950.29</f>
        <v>241698.95</v>
      </c>
      <c r="J9" s="73">
        <v>482372</v>
      </c>
      <c r="K9" s="27">
        <v>1350000</v>
      </c>
      <c r="L9" s="27">
        <v>1350000</v>
      </c>
      <c r="M9" s="27">
        <v>1843200</v>
      </c>
      <c r="N9" s="28">
        <v>768000</v>
      </c>
      <c r="O9" s="28">
        <v>2304000</v>
      </c>
      <c r="P9" s="28">
        <v>2304000</v>
      </c>
      <c r="Q9" s="28">
        <v>3072000</v>
      </c>
      <c r="R9" s="28">
        <v>3072000</v>
      </c>
      <c r="S9" s="28">
        <v>3840000</v>
      </c>
      <c r="T9" s="28">
        <v>3840000</v>
      </c>
      <c r="U9" s="28">
        <v>3840000</v>
      </c>
      <c r="V9" s="28">
        <v>3840000</v>
      </c>
      <c r="W9" s="28">
        <v>3840000</v>
      </c>
      <c r="X9" s="28">
        <v>3840000</v>
      </c>
      <c r="Y9" s="28">
        <v>3840000</v>
      </c>
      <c r="Z9" s="27">
        <v>768000</v>
      </c>
      <c r="AA9" s="27">
        <v>3840000</v>
      </c>
      <c r="AB9" s="27">
        <v>3840000</v>
      </c>
      <c r="AC9" s="27">
        <v>3840000</v>
      </c>
      <c r="AD9" s="27">
        <v>3840000</v>
      </c>
      <c r="AE9" s="27">
        <v>3840000</v>
      </c>
      <c r="AF9" s="27">
        <v>3840000</v>
      </c>
      <c r="AG9" s="27">
        <v>3840000</v>
      </c>
      <c r="AH9" s="27">
        <v>3840000</v>
      </c>
      <c r="AI9" s="27">
        <v>3840000</v>
      </c>
      <c r="AJ9" s="27">
        <v>3840000</v>
      </c>
      <c r="AK9" s="27">
        <v>3840000</v>
      </c>
      <c r="AL9" s="27">
        <v>768000</v>
      </c>
      <c r="AM9" s="27">
        <v>3840000</v>
      </c>
      <c r="AN9" s="27">
        <v>3840000</v>
      </c>
      <c r="AO9" s="27">
        <v>3840000</v>
      </c>
      <c r="AP9" s="27">
        <v>3840000</v>
      </c>
      <c r="AQ9" s="27">
        <v>3840000</v>
      </c>
    </row>
    <row r="10" spans="1:43" ht="16" x14ac:dyDescent="0.4">
      <c r="B10" s="86" t="s">
        <v>43</v>
      </c>
      <c r="C10" s="25">
        <v>0</v>
      </c>
      <c r="D10" s="26">
        <f>184400+67825+9688+247500+6897+9063</f>
        <v>525373</v>
      </c>
      <c r="E10" s="16"/>
      <c r="F10" s="16">
        <v>0</v>
      </c>
      <c r="G10" s="16">
        <v>0</v>
      </c>
      <c r="H10" s="32">
        <v>0</v>
      </c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28">
        <v>768000</v>
      </c>
      <c r="U10" s="28">
        <v>1536000</v>
      </c>
      <c r="V10" s="28">
        <v>1536000</v>
      </c>
      <c r="W10" s="28">
        <v>1536000</v>
      </c>
      <c r="X10" s="28">
        <v>1536000</v>
      </c>
      <c r="Y10" s="28">
        <v>1536000</v>
      </c>
      <c r="Z10" s="27">
        <v>768000</v>
      </c>
      <c r="AA10" s="28">
        <v>2304000</v>
      </c>
      <c r="AB10" s="28">
        <v>2304000</v>
      </c>
      <c r="AC10" s="27">
        <v>3840000</v>
      </c>
      <c r="AD10" s="27">
        <v>3840000</v>
      </c>
      <c r="AE10" s="27">
        <v>3840000</v>
      </c>
      <c r="AF10" s="27">
        <v>3840000</v>
      </c>
      <c r="AG10" s="27">
        <v>3840000</v>
      </c>
      <c r="AH10" s="27">
        <v>3840000</v>
      </c>
      <c r="AI10" s="27">
        <v>3840000</v>
      </c>
      <c r="AJ10" s="27">
        <v>3840000</v>
      </c>
      <c r="AK10" s="27">
        <v>3840000</v>
      </c>
      <c r="AL10" s="27">
        <v>768000</v>
      </c>
      <c r="AM10" s="27">
        <v>3840000</v>
      </c>
      <c r="AN10" s="27">
        <v>3840000</v>
      </c>
      <c r="AO10" s="27">
        <v>3840000</v>
      </c>
      <c r="AP10" s="27">
        <v>3840000</v>
      </c>
      <c r="AQ10" s="27">
        <v>3840000</v>
      </c>
    </row>
    <row r="11" spans="1:43" s="6" customFormat="1" ht="16" x14ac:dyDescent="0.4">
      <c r="B11" s="60" t="s">
        <v>70</v>
      </c>
      <c r="C11" s="17"/>
      <c r="D11" s="17"/>
      <c r="E11" s="37"/>
      <c r="F11" s="37"/>
      <c r="G11" s="37"/>
      <c r="H11" s="38">
        <f t="shared" ref="H11:AQ11" si="1">SUBTOTAL(109,H9:H10)</f>
        <v>0</v>
      </c>
      <c r="I11" s="75">
        <f t="shared" si="1"/>
        <v>241698.95</v>
      </c>
      <c r="J11" s="75">
        <f t="shared" si="1"/>
        <v>482372</v>
      </c>
      <c r="K11" s="75">
        <f t="shared" si="1"/>
        <v>1350000</v>
      </c>
      <c r="L11" s="75">
        <f t="shared" si="1"/>
        <v>1350000</v>
      </c>
      <c r="M11" s="75">
        <f t="shared" si="1"/>
        <v>1843200</v>
      </c>
      <c r="N11" s="75">
        <f t="shared" si="1"/>
        <v>768000</v>
      </c>
      <c r="O11" s="75">
        <f t="shared" si="1"/>
        <v>2304000</v>
      </c>
      <c r="P11" s="75">
        <f t="shared" si="1"/>
        <v>2304000</v>
      </c>
      <c r="Q11" s="75">
        <f t="shared" si="1"/>
        <v>3072000</v>
      </c>
      <c r="R11" s="75">
        <f t="shared" si="1"/>
        <v>3072000</v>
      </c>
      <c r="S11" s="75">
        <f t="shared" si="1"/>
        <v>3840000</v>
      </c>
      <c r="T11" s="75">
        <f t="shared" si="1"/>
        <v>4608000</v>
      </c>
      <c r="U11" s="75">
        <f t="shared" si="1"/>
        <v>5376000</v>
      </c>
      <c r="V11" s="75">
        <f t="shared" si="1"/>
        <v>5376000</v>
      </c>
      <c r="W11" s="75">
        <f t="shared" si="1"/>
        <v>5376000</v>
      </c>
      <c r="X11" s="75">
        <f t="shared" si="1"/>
        <v>5376000</v>
      </c>
      <c r="Y11" s="75">
        <f t="shared" si="1"/>
        <v>5376000</v>
      </c>
      <c r="Z11" s="75">
        <f t="shared" si="1"/>
        <v>1536000</v>
      </c>
      <c r="AA11" s="75">
        <f t="shared" si="1"/>
        <v>6144000</v>
      </c>
      <c r="AB11" s="75">
        <f t="shared" si="1"/>
        <v>6144000</v>
      </c>
      <c r="AC11" s="75">
        <f t="shared" si="1"/>
        <v>7680000</v>
      </c>
      <c r="AD11" s="75">
        <f t="shared" si="1"/>
        <v>7680000</v>
      </c>
      <c r="AE11" s="75">
        <f t="shared" si="1"/>
        <v>7680000</v>
      </c>
      <c r="AF11" s="75">
        <f t="shared" si="1"/>
        <v>7680000</v>
      </c>
      <c r="AG11" s="75">
        <f t="shared" si="1"/>
        <v>7680000</v>
      </c>
      <c r="AH11" s="75">
        <f t="shared" si="1"/>
        <v>7680000</v>
      </c>
      <c r="AI11" s="75">
        <f t="shared" si="1"/>
        <v>7680000</v>
      </c>
      <c r="AJ11" s="75">
        <f t="shared" si="1"/>
        <v>7680000</v>
      </c>
      <c r="AK11" s="75">
        <f t="shared" si="1"/>
        <v>7680000</v>
      </c>
      <c r="AL11" s="75">
        <f t="shared" si="1"/>
        <v>1536000</v>
      </c>
      <c r="AM11" s="75">
        <f t="shared" si="1"/>
        <v>7680000</v>
      </c>
      <c r="AN11" s="75">
        <f t="shared" si="1"/>
        <v>7680000</v>
      </c>
      <c r="AO11" s="75">
        <f t="shared" si="1"/>
        <v>7680000</v>
      </c>
      <c r="AP11" s="75">
        <f t="shared" si="1"/>
        <v>7680000</v>
      </c>
      <c r="AQ11" s="75">
        <f t="shared" si="1"/>
        <v>7680000</v>
      </c>
    </row>
    <row r="12" spans="1:43" s="6" customFormat="1" ht="16" x14ac:dyDescent="0.4">
      <c r="B12" s="60" t="s">
        <v>66</v>
      </c>
      <c r="C12" s="17"/>
      <c r="D12" s="12"/>
      <c r="E12" s="37"/>
      <c r="F12" s="37"/>
      <c r="G12" s="37"/>
      <c r="H12" s="38"/>
      <c r="I12" s="8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  <c r="AA12" s="75"/>
      <c r="AB12" s="75"/>
      <c r="AC12" s="75"/>
      <c r="AD12" s="75"/>
      <c r="AE12" s="75"/>
      <c r="AF12" s="75"/>
      <c r="AG12" s="75"/>
      <c r="AH12" s="75"/>
      <c r="AI12" s="75"/>
      <c r="AJ12" s="75"/>
      <c r="AK12" s="75"/>
      <c r="AL12" s="75"/>
      <c r="AM12" s="75"/>
      <c r="AN12" s="75"/>
      <c r="AO12" s="75"/>
      <c r="AP12" s="75"/>
      <c r="AQ12" s="75"/>
    </row>
    <row r="13" spans="1:43" ht="16" x14ac:dyDescent="0.4">
      <c r="B13" s="59" t="s">
        <v>41</v>
      </c>
      <c r="C13" s="10">
        <v>0</v>
      </c>
      <c r="D13" s="13">
        <v>0</v>
      </c>
      <c r="E13" s="10">
        <v>0</v>
      </c>
      <c r="F13" s="10"/>
      <c r="G13" s="10">
        <v>0</v>
      </c>
      <c r="H13" s="30">
        <v>0</v>
      </c>
      <c r="I13" s="75"/>
      <c r="J13" s="73"/>
      <c r="K13" s="73"/>
      <c r="L13" s="73"/>
      <c r="M13" s="73"/>
      <c r="N13" s="73"/>
      <c r="O13" s="73"/>
      <c r="P13" s="73"/>
      <c r="Q13" s="73"/>
      <c r="R13" s="73"/>
      <c r="S13" s="73">
        <v>4086389</v>
      </c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</row>
    <row r="14" spans="1:43" ht="16" x14ac:dyDescent="0.4">
      <c r="B14" s="59" t="s">
        <v>79</v>
      </c>
      <c r="C14" s="10"/>
      <c r="D14" s="13"/>
      <c r="E14" s="10"/>
      <c r="F14" s="10"/>
      <c r="G14" s="10"/>
      <c r="H14" s="30"/>
      <c r="I14" s="73"/>
      <c r="J14" s="27"/>
      <c r="K14" s="73"/>
      <c r="L14" s="73"/>
      <c r="M14" s="73"/>
      <c r="N14" s="73"/>
      <c r="O14" s="73"/>
      <c r="P14" s="73"/>
      <c r="Q14" s="73"/>
      <c r="R14" s="73"/>
      <c r="S14" s="73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</row>
    <row r="15" spans="1:43" ht="16" x14ac:dyDescent="0.4">
      <c r="B15" s="59" t="s">
        <v>72</v>
      </c>
      <c r="C15" s="10">
        <v>0</v>
      </c>
      <c r="D15" s="14"/>
      <c r="E15" s="13">
        <v>1500000</v>
      </c>
      <c r="F15" s="4"/>
      <c r="G15" s="4">
        <v>0</v>
      </c>
      <c r="H15" s="30">
        <v>4658715</v>
      </c>
      <c r="I15" s="27"/>
      <c r="J15" s="27"/>
      <c r="K15" s="27">
        <v>341285</v>
      </c>
      <c r="L15" s="73"/>
      <c r="M15" s="73"/>
      <c r="N15" s="73"/>
      <c r="O15" s="73"/>
      <c r="P15" s="73"/>
      <c r="Q15" s="73"/>
      <c r="R15" s="73"/>
      <c r="S15" s="73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</row>
    <row r="16" spans="1:43" ht="16" x14ac:dyDescent="0.4">
      <c r="B16" s="59" t="s">
        <v>44</v>
      </c>
      <c r="C16" s="10">
        <v>0</v>
      </c>
      <c r="D16" s="13" t="e">
        <f>(D28+D37+#REF!+D41+D38+D39+D30+D31+#REF!++D42+D40)*0.2</f>
        <v>#REF!</v>
      </c>
      <c r="E16" s="15">
        <v>586906</v>
      </c>
      <c r="F16" s="15"/>
      <c r="G16" s="15"/>
      <c r="H16" s="33">
        <v>565747</v>
      </c>
      <c r="I16" s="76"/>
      <c r="J16" s="76"/>
      <c r="K16" s="76" cm="1">
        <f t="array" ref="K16">SUM((I27:J32)+(I37:J42))*0.25</f>
        <v>291458.75</v>
      </c>
      <c r="L16" s="76"/>
      <c r="M16" s="76"/>
      <c r="N16" s="76" cm="1">
        <f t="array" ref="N16">SUM((L27:M32)+(L37:M42))*0.25</f>
        <v>372550</v>
      </c>
      <c r="O16" s="76"/>
      <c r="P16" s="76"/>
      <c r="Q16" s="76" cm="1">
        <f t="array" ref="Q16">SUM((O27:P32)+(O37:P42))*0.25</f>
        <v>378800</v>
      </c>
      <c r="R16" s="76"/>
      <c r="S16" s="76"/>
      <c r="T16" s="76" cm="1">
        <f t="array" ref="T16">SUM((R27:S32)+(R37:S42))*0.25</f>
        <v>1387014.2774999999</v>
      </c>
      <c r="U16" s="76"/>
      <c r="V16" s="76"/>
      <c r="W16" s="76" cm="1">
        <f t="array" ref="W16">SUM((U27:V32)+(U37:V42))*0.25</f>
        <v>1246722.6402005334</v>
      </c>
      <c r="X16" s="76"/>
      <c r="Y16" s="76"/>
      <c r="Z16" s="76" cm="1">
        <f t="array" ref="Z16">SUM((X27:Y32)+(X37:Y42))*0.25</f>
        <v>1349296.9177005326</v>
      </c>
      <c r="AA16" s="76"/>
      <c r="AB16" s="76"/>
      <c r="AC16" s="76" cm="1">
        <f t="array" ref="AC16">SUM((AA27:AB32)+(AA37:AB42))*0.25</f>
        <v>535525</v>
      </c>
      <c r="AD16" s="76"/>
      <c r="AE16" s="76"/>
      <c r="AF16" s="76" cm="1">
        <f t="array" ref="AF16">SUM((AD27:AE32)+(AD37:AE42))*0.25</f>
        <v>463275</v>
      </c>
      <c r="AG16" s="76"/>
      <c r="AH16" s="76"/>
      <c r="AI16" s="76" cm="1">
        <f t="array" ref="AI16">SUM((AG27:AH32)+(AG37:AH42))*0.25</f>
        <v>541525</v>
      </c>
      <c r="AJ16" s="76"/>
      <c r="AK16" s="76"/>
      <c r="AL16" s="76" cm="1">
        <f t="array" ref="AL16">SUM((AJ27:AK32)+(AJ37:AK42))*0.25</f>
        <v>541525</v>
      </c>
      <c r="AM16" s="76"/>
      <c r="AN16" s="76"/>
      <c r="AO16" s="76" cm="1">
        <f t="array" ref="AO16">SUM((AM27:AN32)+(AM37:AN42))*0.25</f>
        <v>541525</v>
      </c>
      <c r="AP16" s="76"/>
      <c r="AQ16" s="76"/>
    </row>
    <row r="17" spans="2:43" ht="16.5" thickBot="1" x14ac:dyDescent="0.45">
      <c r="B17" s="55" t="s">
        <v>67</v>
      </c>
      <c r="C17" s="56"/>
      <c r="D17" s="56"/>
      <c r="E17" s="56"/>
      <c r="F17" s="56"/>
      <c r="G17" s="56"/>
      <c r="H17" s="57">
        <f>SUM(H11:H16)</f>
        <v>5224462</v>
      </c>
      <c r="I17" s="77">
        <f>SUM(I11:I16)</f>
        <v>241698.95</v>
      </c>
      <c r="J17" s="77">
        <f t="shared" ref="J17:AQ17" si="2">SUM(J11:J16)</f>
        <v>482372</v>
      </c>
      <c r="K17" s="77">
        <f t="shared" si="2"/>
        <v>1982743.75</v>
      </c>
      <c r="L17" s="77">
        <f t="shared" si="2"/>
        <v>1350000</v>
      </c>
      <c r="M17" s="77">
        <f t="shared" si="2"/>
        <v>1843200</v>
      </c>
      <c r="N17" s="77">
        <f t="shared" si="2"/>
        <v>1140550</v>
      </c>
      <c r="O17" s="77">
        <f t="shared" si="2"/>
        <v>2304000</v>
      </c>
      <c r="P17" s="77">
        <f t="shared" si="2"/>
        <v>2304000</v>
      </c>
      <c r="Q17" s="77">
        <f t="shared" si="2"/>
        <v>3450800</v>
      </c>
      <c r="R17" s="77">
        <f t="shared" si="2"/>
        <v>3072000</v>
      </c>
      <c r="S17" s="77">
        <f t="shared" si="2"/>
        <v>7926389</v>
      </c>
      <c r="T17" s="77">
        <f>SUM(T11:T16)</f>
        <v>5995014.2774999999</v>
      </c>
      <c r="U17" s="77">
        <f t="shared" si="2"/>
        <v>5376000</v>
      </c>
      <c r="V17" s="77">
        <f t="shared" si="2"/>
        <v>5376000</v>
      </c>
      <c r="W17" s="77">
        <f t="shared" si="2"/>
        <v>6622722.640200533</v>
      </c>
      <c r="X17" s="77">
        <f t="shared" si="2"/>
        <v>5376000</v>
      </c>
      <c r="Y17" s="77">
        <f t="shared" si="2"/>
        <v>5376000</v>
      </c>
      <c r="Z17" s="77">
        <f t="shared" si="2"/>
        <v>2885296.9177005328</v>
      </c>
      <c r="AA17" s="77">
        <f t="shared" si="2"/>
        <v>6144000</v>
      </c>
      <c r="AB17" s="77">
        <f t="shared" si="2"/>
        <v>6144000</v>
      </c>
      <c r="AC17" s="77">
        <f t="shared" si="2"/>
        <v>8215525</v>
      </c>
      <c r="AD17" s="77">
        <f t="shared" si="2"/>
        <v>7680000</v>
      </c>
      <c r="AE17" s="77">
        <f t="shared" si="2"/>
        <v>7680000</v>
      </c>
      <c r="AF17" s="77">
        <f t="shared" si="2"/>
        <v>8143275</v>
      </c>
      <c r="AG17" s="77">
        <f t="shared" si="2"/>
        <v>7680000</v>
      </c>
      <c r="AH17" s="77">
        <f t="shared" si="2"/>
        <v>7680000</v>
      </c>
      <c r="AI17" s="77">
        <f t="shared" si="2"/>
        <v>8221525</v>
      </c>
      <c r="AJ17" s="77">
        <f t="shared" si="2"/>
        <v>7680000</v>
      </c>
      <c r="AK17" s="77">
        <f t="shared" si="2"/>
        <v>7680000</v>
      </c>
      <c r="AL17" s="77">
        <f t="shared" si="2"/>
        <v>2077525</v>
      </c>
      <c r="AM17" s="77">
        <f t="shared" si="2"/>
        <v>7680000</v>
      </c>
      <c r="AN17" s="77">
        <f t="shared" si="2"/>
        <v>7680000</v>
      </c>
      <c r="AO17" s="77">
        <f t="shared" si="2"/>
        <v>8221525</v>
      </c>
      <c r="AP17" s="77">
        <f t="shared" si="2"/>
        <v>7680000</v>
      </c>
      <c r="AQ17" s="77">
        <f t="shared" si="2"/>
        <v>7680000</v>
      </c>
    </row>
    <row r="18" spans="2:43" s="6" customFormat="1" ht="16.5" thickTop="1" x14ac:dyDescent="0.4">
      <c r="B18" s="53" t="s">
        <v>68</v>
      </c>
      <c r="C18" s="54"/>
      <c r="D18" s="54"/>
      <c r="E18" s="54"/>
      <c r="F18" s="54"/>
      <c r="G18" s="54"/>
      <c r="H18" s="54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</row>
    <row r="19" spans="2:43" s="6" customFormat="1" ht="16" x14ac:dyDescent="0.4">
      <c r="B19" s="58" t="s">
        <v>59</v>
      </c>
      <c r="C19" s="24"/>
      <c r="D19" s="39"/>
      <c r="E19" s="24"/>
      <c r="F19" s="24"/>
      <c r="G19" s="24"/>
      <c r="H19" s="29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  <c r="AA19" s="72"/>
      <c r="AB19" s="72"/>
      <c r="AC19" s="72"/>
      <c r="AD19" s="72"/>
      <c r="AE19" s="72"/>
      <c r="AF19" s="72"/>
      <c r="AG19" s="72"/>
      <c r="AH19" s="72"/>
      <c r="AI19" s="72"/>
      <c r="AJ19" s="72"/>
      <c r="AK19" s="72"/>
      <c r="AL19" s="72"/>
      <c r="AM19" s="72"/>
      <c r="AN19" s="72"/>
      <c r="AO19" s="72"/>
      <c r="AP19" s="72"/>
      <c r="AQ19" s="72"/>
    </row>
    <row r="20" spans="2:43" s="6" customFormat="1" ht="16" x14ac:dyDescent="0.4">
      <c r="B20" s="63" t="s">
        <v>80</v>
      </c>
      <c r="C20" s="64"/>
      <c r="D20" s="65"/>
      <c r="E20" s="64"/>
      <c r="F20" s="64"/>
      <c r="G20" s="64"/>
      <c r="H20" s="66"/>
      <c r="I20" s="72"/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72"/>
      <c r="Z20" s="72"/>
      <c r="AA20" s="72"/>
      <c r="AB20" s="72"/>
      <c r="AC20" s="72"/>
      <c r="AD20" s="72"/>
      <c r="AE20" s="72"/>
      <c r="AF20" s="72"/>
      <c r="AG20" s="72"/>
      <c r="AH20" s="72"/>
      <c r="AI20" s="72"/>
      <c r="AJ20" s="72"/>
      <c r="AK20" s="72"/>
      <c r="AL20" s="72"/>
      <c r="AM20" s="72"/>
      <c r="AN20" s="72"/>
      <c r="AO20" s="72"/>
      <c r="AP20" s="72"/>
      <c r="AQ20" s="72"/>
    </row>
    <row r="21" spans="2:43" ht="16" x14ac:dyDescent="0.4">
      <c r="B21" s="86" t="s">
        <v>46</v>
      </c>
      <c r="C21" s="10">
        <v>0</v>
      </c>
      <c r="D21" s="13">
        <v>316064</v>
      </c>
      <c r="E21" s="10">
        <f>23476+29179+40580+30530+63200</f>
        <v>186965</v>
      </c>
      <c r="F21" s="10">
        <v>196616</v>
      </c>
      <c r="G21" s="10">
        <v>202864</v>
      </c>
      <c r="H21" s="30">
        <v>222297</v>
      </c>
      <c r="I21" s="73">
        <v>210478</v>
      </c>
      <c r="J21" s="73"/>
      <c r="K21" s="73">
        <v>105000</v>
      </c>
      <c r="L21" s="73">
        <v>210000</v>
      </c>
      <c r="M21" s="73">
        <v>210000</v>
      </c>
      <c r="N21" s="73">
        <v>210000</v>
      </c>
      <c r="O21" s="73">
        <f t="shared" ref="O21:S21" si="3">206111+23476</f>
        <v>229587</v>
      </c>
      <c r="P21" s="73">
        <f t="shared" si="3"/>
        <v>229587</v>
      </c>
      <c r="Q21" s="73">
        <f t="shared" si="3"/>
        <v>229587</v>
      </c>
      <c r="R21" s="73">
        <f t="shared" si="3"/>
        <v>229587</v>
      </c>
      <c r="S21" s="73">
        <f t="shared" si="3"/>
        <v>229587</v>
      </c>
      <c r="T21" s="27">
        <f t="shared" ref="T21" si="4">229587+23476+23476</f>
        <v>276539</v>
      </c>
      <c r="U21" s="27">
        <f>Tabell241113[[#This Row],[jan-26]]+30000</f>
        <v>306539</v>
      </c>
      <c r="V21" s="27">
        <f>Tabell241113[[#This Row],[jan-26]]+30000+30000</f>
        <v>336539</v>
      </c>
      <c r="W21" s="27">
        <f>Tabell241113[[#This Row],[mar-26]]+30000+30000</f>
        <v>396539</v>
      </c>
      <c r="X21" s="27">
        <f>Tabell241113[[#This Row],[mar-26]]+30000+30000</f>
        <v>396539</v>
      </c>
      <c r="Y21" s="27">
        <f>Tabell241113[[#This Row],[mar-26]]+30000+30000</f>
        <v>396539</v>
      </c>
      <c r="Z21" s="27">
        <f>Tabell241113[[#This Row],[mar-26]]+30000+30000</f>
        <v>396539</v>
      </c>
      <c r="AA21" s="27">
        <f>Tabell241113[[#This Row],[mar-26]]+30000+30000</f>
        <v>396539</v>
      </c>
      <c r="AB21" s="27">
        <f>Tabell241113[[#This Row],[mar-26]]+30000+30000</f>
        <v>396539</v>
      </c>
      <c r="AC21" s="27">
        <f>Tabell241113[[#This Row],[sep-26]]+30000+30000</f>
        <v>456539</v>
      </c>
      <c r="AD21" s="27">
        <v>456539</v>
      </c>
      <c r="AE21" s="27">
        <f t="shared" ref="AE21" si="5">396539+30000+30000</f>
        <v>456539</v>
      </c>
      <c r="AF21" s="27">
        <f>396539+30000+30000+((30000+42000+30000)*2)</f>
        <v>660539</v>
      </c>
      <c r="AG21" s="27">
        <f t="shared" ref="AG21:AP21" si="6">396539+30000+30000+((30000+42000+30000)*2)</f>
        <v>660539</v>
      </c>
      <c r="AH21" s="27">
        <f t="shared" si="6"/>
        <v>660539</v>
      </c>
      <c r="AI21" s="27">
        <f t="shared" si="6"/>
        <v>660539</v>
      </c>
      <c r="AJ21" s="27">
        <f t="shared" si="6"/>
        <v>660539</v>
      </c>
      <c r="AK21" s="27">
        <f t="shared" si="6"/>
        <v>660539</v>
      </c>
      <c r="AL21" s="27">
        <f t="shared" si="6"/>
        <v>660539</v>
      </c>
      <c r="AM21" s="27">
        <f t="shared" si="6"/>
        <v>660539</v>
      </c>
      <c r="AN21" s="27">
        <f t="shared" si="6"/>
        <v>660539</v>
      </c>
      <c r="AO21" s="27">
        <f t="shared" si="6"/>
        <v>660539</v>
      </c>
      <c r="AP21" s="27">
        <f t="shared" si="6"/>
        <v>660539</v>
      </c>
      <c r="AQ21" s="27">
        <f>396539+30000+30000+((30000+42000+30000)*2)</f>
        <v>660539</v>
      </c>
    </row>
    <row r="22" spans="2:43" ht="16" x14ac:dyDescent="0.4">
      <c r="B22" s="86" t="s">
        <v>47</v>
      </c>
      <c r="C22" s="10"/>
      <c r="D22" s="13"/>
      <c r="E22" s="10">
        <f>25018+24793+25253+29829+27092+24532</f>
        <v>156517</v>
      </c>
      <c r="F22" s="10">
        <v>149998</v>
      </c>
      <c r="G22" s="10">
        <v>196322</v>
      </c>
      <c r="H22" s="28">
        <v>156347</v>
      </c>
      <c r="I22" s="28">
        <v>153398</v>
      </c>
      <c r="J22" s="28"/>
      <c r="K22" s="28">
        <v>135000</v>
      </c>
      <c r="L22" s="28">
        <v>270000</v>
      </c>
      <c r="M22" s="28">
        <v>270000</v>
      </c>
      <c r="N22" s="28">
        <v>270000</v>
      </c>
      <c r="O22" s="28">
        <v>270000</v>
      </c>
      <c r="P22" s="28">
        <v>270000</v>
      </c>
      <c r="Q22" s="28">
        <v>450000</v>
      </c>
      <c r="R22" s="28">
        <v>450000</v>
      </c>
      <c r="S22" s="28">
        <v>450000</v>
      </c>
      <c r="T22" s="28">
        <v>450000</v>
      </c>
      <c r="U22" s="28">
        <v>450000</v>
      </c>
      <c r="V22" s="28">
        <v>450000</v>
      </c>
      <c r="W22" s="28">
        <v>450000</v>
      </c>
      <c r="X22" s="28">
        <v>450000</v>
      </c>
      <c r="Y22" s="28">
        <v>450000</v>
      </c>
      <c r="Z22" s="28">
        <v>450000</v>
      </c>
      <c r="AA22" s="28">
        <v>450000</v>
      </c>
      <c r="AB22" s="28">
        <v>450000</v>
      </c>
      <c r="AC22" s="28">
        <v>450000</v>
      </c>
      <c r="AD22" s="28">
        <v>450000</v>
      </c>
      <c r="AE22" s="28">
        <v>450000</v>
      </c>
      <c r="AF22" s="28">
        <v>450000</v>
      </c>
      <c r="AG22" s="28">
        <v>450000</v>
      </c>
      <c r="AH22" s="28">
        <v>450000</v>
      </c>
      <c r="AI22" s="28">
        <v>450000</v>
      </c>
      <c r="AJ22" s="28">
        <v>450000</v>
      </c>
      <c r="AK22" s="28">
        <v>450000</v>
      </c>
      <c r="AL22" s="28">
        <v>450000</v>
      </c>
      <c r="AM22" s="28">
        <v>450000</v>
      </c>
      <c r="AN22" s="28">
        <v>450000</v>
      </c>
      <c r="AO22" s="28">
        <v>450000</v>
      </c>
      <c r="AP22" s="28">
        <v>450000</v>
      </c>
      <c r="AQ22" s="28">
        <v>450000</v>
      </c>
    </row>
    <row r="23" spans="2:43" ht="16" x14ac:dyDescent="0.4">
      <c r="B23" s="59" t="s">
        <v>48</v>
      </c>
      <c r="C23" s="10"/>
      <c r="D23" s="13"/>
      <c r="E23" s="10">
        <v>0</v>
      </c>
      <c r="F23" s="10">
        <v>0</v>
      </c>
      <c r="G23" s="10">
        <v>0</v>
      </c>
      <c r="H23" s="30"/>
      <c r="I23" s="73"/>
      <c r="J23" s="73"/>
      <c r="K23" s="73"/>
      <c r="L23" s="73"/>
      <c r="M23" s="73"/>
      <c r="N23" s="73"/>
      <c r="O23" s="73"/>
      <c r="P23" s="27"/>
      <c r="Q23" s="73">
        <v>90000</v>
      </c>
      <c r="R23" s="73">
        <v>180000</v>
      </c>
      <c r="S23" s="73">
        <v>180000</v>
      </c>
      <c r="T23" s="73">
        <v>180000</v>
      </c>
      <c r="U23" s="73">
        <v>180000</v>
      </c>
      <c r="V23" s="73">
        <v>180000</v>
      </c>
      <c r="W23" s="73">
        <v>180000</v>
      </c>
      <c r="X23" s="73">
        <v>270000</v>
      </c>
      <c r="Y23" s="73">
        <v>270000</v>
      </c>
      <c r="Z23" s="27">
        <f>V22*0.8</f>
        <v>360000</v>
      </c>
      <c r="AA23" s="28">
        <v>450000</v>
      </c>
      <c r="AB23" s="28">
        <v>450000</v>
      </c>
      <c r="AC23" s="28">
        <v>450000</v>
      </c>
      <c r="AD23" s="28">
        <v>450000</v>
      </c>
      <c r="AE23" s="28">
        <v>450000</v>
      </c>
      <c r="AF23" s="28">
        <v>450000</v>
      </c>
      <c r="AG23" s="28">
        <v>450000</v>
      </c>
      <c r="AH23" s="28">
        <v>450000</v>
      </c>
      <c r="AI23" s="28">
        <v>450000</v>
      </c>
      <c r="AJ23" s="28">
        <v>450000</v>
      </c>
      <c r="AK23" s="28">
        <v>450000</v>
      </c>
      <c r="AL23" s="28">
        <v>450000</v>
      </c>
      <c r="AM23" s="28">
        <v>450000</v>
      </c>
      <c r="AN23" s="28">
        <v>450000</v>
      </c>
      <c r="AO23" s="28">
        <v>450000</v>
      </c>
      <c r="AP23" s="28">
        <v>450000</v>
      </c>
      <c r="AQ23" s="28">
        <v>450000</v>
      </c>
    </row>
    <row r="24" spans="2:43" ht="16" x14ac:dyDescent="0.4">
      <c r="B24" s="86" t="s">
        <v>45</v>
      </c>
      <c r="C24" s="10">
        <v>0</v>
      </c>
      <c r="D24" s="13">
        <v>200000</v>
      </c>
      <c r="E24" s="10">
        <v>240621</v>
      </c>
      <c r="F24" s="10">
        <v>243843</v>
      </c>
      <c r="G24" s="10">
        <v>156079</v>
      </c>
      <c r="H24" s="30">
        <f>116487+151244+257491</f>
        <v>525222</v>
      </c>
      <c r="I24" s="73"/>
      <c r="J24" s="73">
        <f>269986+25942+2378+1302</f>
        <v>299608</v>
      </c>
      <c r="K24" s="73">
        <v>260000</v>
      </c>
      <c r="L24" s="73">
        <v>260000</v>
      </c>
      <c r="M24" s="73">
        <v>260000</v>
      </c>
      <c r="N24" s="73">
        <v>260000</v>
      </c>
      <c r="O24" s="73">
        <v>260000</v>
      </c>
      <c r="P24" s="73">
        <v>260000</v>
      </c>
      <c r="Q24" s="73">
        <v>260000</v>
      </c>
      <c r="R24" s="73">
        <v>260000</v>
      </c>
      <c r="S24" s="73">
        <v>260000</v>
      </c>
      <c r="T24" s="73">
        <f>(T21+T22+T23)*0.38</f>
        <v>344484.82</v>
      </c>
      <c r="U24" s="73">
        <f t="shared" ref="U24:AQ24" si="7">(U21+U22+U23)*0.38</f>
        <v>355884.82</v>
      </c>
      <c r="V24" s="73">
        <f t="shared" si="7"/>
        <v>367284.82</v>
      </c>
      <c r="W24" s="73">
        <f t="shared" si="7"/>
        <v>390084.82</v>
      </c>
      <c r="X24" s="73">
        <f t="shared" si="7"/>
        <v>424284.82</v>
      </c>
      <c r="Y24" s="73">
        <f t="shared" si="7"/>
        <v>424284.82</v>
      </c>
      <c r="Z24" s="73">
        <f t="shared" si="7"/>
        <v>458484.82</v>
      </c>
      <c r="AA24" s="73">
        <f t="shared" si="7"/>
        <v>492684.82</v>
      </c>
      <c r="AB24" s="73">
        <f t="shared" si="7"/>
        <v>492684.82</v>
      </c>
      <c r="AC24" s="73">
        <f t="shared" si="7"/>
        <v>515484.82</v>
      </c>
      <c r="AD24" s="73">
        <f t="shared" si="7"/>
        <v>515484.82</v>
      </c>
      <c r="AE24" s="73">
        <f t="shared" si="7"/>
        <v>515484.82</v>
      </c>
      <c r="AF24" s="73">
        <f t="shared" si="7"/>
        <v>593004.81999999995</v>
      </c>
      <c r="AG24" s="73">
        <f t="shared" si="7"/>
        <v>593004.81999999995</v>
      </c>
      <c r="AH24" s="73">
        <f t="shared" si="7"/>
        <v>593004.81999999995</v>
      </c>
      <c r="AI24" s="73">
        <f t="shared" si="7"/>
        <v>593004.81999999995</v>
      </c>
      <c r="AJ24" s="73">
        <f t="shared" si="7"/>
        <v>593004.81999999995</v>
      </c>
      <c r="AK24" s="73">
        <f t="shared" si="7"/>
        <v>593004.81999999995</v>
      </c>
      <c r="AL24" s="73">
        <f t="shared" si="7"/>
        <v>593004.81999999995</v>
      </c>
      <c r="AM24" s="73">
        <f t="shared" si="7"/>
        <v>593004.81999999995</v>
      </c>
      <c r="AN24" s="73">
        <f t="shared" si="7"/>
        <v>593004.81999999995</v>
      </c>
      <c r="AO24" s="73">
        <f t="shared" si="7"/>
        <v>593004.81999999995</v>
      </c>
      <c r="AP24" s="73">
        <f t="shared" si="7"/>
        <v>593004.81999999995</v>
      </c>
      <c r="AQ24" s="73">
        <f t="shared" si="7"/>
        <v>593004.81999999995</v>
      </c>
    </row>
    <row r="25" spans="2:43" ht="16" x14ac:dyDescent="0.4">
      <c r="B25" s="86" t="s">
        <v>75</v>
      </c>
      <c r="C25" s="10">
        <v>0</v>
      </c>
      <c r="D25" s="13">
        <f>D10*0.025</f>
        <v>13134.325000000001</v>
      </c>
      <c r="E25" s="10">
        <f>E62+E69</f>
        <v>0</v>
      </c>
      <c r="F25" s="4">
        <v>-113433.22999999998</v>
      </c>
      <c r="G25" s="4">
        <v>54569.31</v>
      </c>
      <c r="H25" s="31">
        <f>45000+54569.31</f>
        <v>99569.31</v>
      </c>
      <c r="I25" s="27">
        <f>I52+I64+10589-7707</f>
        <v>2882</v>
      </c>
      <c r="J25" s="27">
        <f>45000+7707</f>
        <v>52707</v>
      </c>
      <c r="K25" s="27">
        <v>45000</v>
      </c>
      <c r="L25" s="27">
        <v>45000</v>
      </c>
      <c r="M25" s="27">
        <v>45000</v>
      </c>
      <c r="N25" s="27">
        <v>45000</v>
      </c>
      <c r="O25" s="27">
        <v>45000</v>
      </c>
      <c r="P25" s="27">
        <v>45000</v>
      </c>
      <c r="Q25" s="27">
        <v>55000</v>
      </c>
      <c r="R25" s="27">
        <v>55000</v>
      </c>
      <c r="S25" s="27">
        <v>55000</v>
      </c>
      <c r="T25" s="27">
        <v>60000</v>
      </c>
      <c r="U25" s="27">
        <v>62000</v>
      </c>
      <c r="V25" s="27">
        <v>65000</v>
      </c>
      <c r="W25" s="27">
        <v>67000</v>
      </c>
      <c r="X25" s="27">
        <v>67000</v>
      </c>
      <c r="Y25" s="27">
        <v>67000</v>
      </c>
      <c r="Z25" s="27">
        <v>67000</v>
      </c>
      <c r="AA25" s="27">
        <v>67000</v>
      </c>
      <c r="AB25" s="27">
        <v>67000</v>
      </c>
      <c r="AC25" s="27">
        <v>70000</v>
      </c>
      <c r="AD25" s="27">
        <v>70000</v>
      </c>
      <c r="AE25" s="27">
        <v>70000</v>
      </c>
      <c r="AF25" s="27">
        <v>70000</v>
      </c>
      <c r="AG25" s="27">
        <v>70000</v>
      </c>
      <c r="AH25" s="27">
        <v>70000</v>
      </c>
      <c r="AI25" s="27">
        <v>70000</v>
      </c>
      <c r="AJ25" s="27">
        <v>70000</v>
      </c>
      <c r="AK25" s="27">
        <v>70000</v>
      </c>
      <c r="AL25" s="27">
        <v>70000</v>
      </c>
      <c r="AM25" s="27">
        <v>70000</v>
      </c>
      <c r="AN25" s="27">
        <v>70000</v>
      </c>
      <c r="AO25" s="27">
        <v>70000</v>
      </c>
      <c r="AP25" s="27">
        <v>70000</v>
      </c>
      <c r="AQ25" s="27">
        <v>70000</v>
      </c>
    </row>
    <row r="26" spans="2:43" ht="16" x14ac:dyDescent="0.4">
      <c r="B26" s="63" t="s">
        <v>81</v>
      </c>
      <c r="C26" s="10"/>
      <c r="D26" s="13"/>
      <c r="E26" s="10"/>
      <c r="F26" s="4"/>
      <c r="G26" s="4"/>
      <c r="H26" s="31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</row>
    <row r="27" spans="2:43" ht="16" x14ac:dyDescent="0.4">
      <c r="B27" s="86" t="s">
        <v>49</v>
      </c>
      <c r="C27" s="10"/>
      <c r="D27" s="13"/>
      <c r="E27" s="10">
        <v>0</v>
      </c>
      <c r="F27" s="10">
        <v>0</v>
      </c>
      <c r="G27" s="10">
        <v>0</v>
      </c>
      <c r="H27" s="30">
        <v>344161</v>
      </c>
      <c r="I27" s="73">
        <v>0</v>
      </c>
      <c r="J27" s="27"/>
      <c r="K27" s="73">
        <v>103000</v>
      </c>
      <c r="L27" s="73">
        <v>103000</v>
      </c>
      <c r="M27" s="73">
        <v>103000</v>
      </c>
      <c r="N27" s="73">
        <v>103000</v>
      </c>
      <c r="O27" s="73">
        <v>103000</v>
      </c>
      <c r="P27" s="73">
        <v>103000</v>
      </c>
      <c r="Q27" s="73">
        <v>103000</v>
      </c>
      <c r="R27" s="73">
        <v>103000</v>
      </c>
      <c r="S27" s="73">
        <v>103000</v>
      </c>
      <c r="T27" s="73">
        <v>309000</v>
      </c>
      <c r="U27" s="73">
        <v>0</v>
      </c>
      <c r="V27" s="73">
        <v>309000</v>
      </c>
      <c r="W27" s="73">
        <v>0</v>
      </c>
      <c r="X27" s="73">
        <v>0</v>
      </c>
      <c r="Y27" s="73">
        <v>309000</v>
      </c>
      <c r="Z27" s="73">
        <v>0</v>
      </c>
      <c r="AA27" s="73">
        <v>0</v>
      </c>
      <c r="AB27" s="73">
        <v>309000</v>
      </c>
      <c r="AC27" s="73">
        <v>0</v>
      </c>
      <c r="AD27" s="73">
        <v>0</v>
      </c>
      <c r="AE27" s="73">
        <v>0</v>
      </c>
      <c r="AF27" s="73">
        <v>309000</v>
      </c>
      <c r="AG27" s="27">
        <f>AG34*0.8</f>
        <v>0</v>
      </c>
      <c r="AH27" s="73">
        <v>309000</v>
      </c>
      <c r="AI27" s="73">
        <v>0</v>
      </c>
      <c r="AJ27" s="73">
        <v>0</v>
      </c>
      <c r="AK27" s="73">
        <v>309000</v>
      </c>
      <c r="AL27" s="73">
        <v>0</v>
      </c>
      <c r="AM27" s="73">
        <v>0</v>
      </c>
      <c r="AN27" s="73">
        <v>309000</v>
      </c>
      <c r="AO27" s="73">
        <v>0</v>
      </c>
      <c r="AP27" s="73">
        <v>0</v>
      </c>
      <c r="AQ27" s="73">
        <v>0</v>
      </c>
    </row>
    <row r="28" spans="2:43" s="19" customFormat="1" ht="16" x14ac:dyDescent="0.4">
      <c r="B28" s="87" t="s">
        <v>50</v>
      </c>
      <c r="C28" s="22">
        <v>0</v>
      </c>
      <c r="D28" s="23">
        <f>29500+480889</f>
        <v>510389</v>
      </c>
      <c r="E28" s="22">
        <f>306398+29500+480889</f>
        <v>816787</v>
      </c>
      <c r="F28" s="22">
        <v>0</v>
      </c>
      <c r="G28" s="20"/>
      <c r="H28" s="34">
        <v>488265</v>
      </c>
      <c r="I28" s="79">
        <v>0</v>
      </c>
      <c r="J28" s="80"/>
      <c r="K28" s="79">
        <v>160300</v>
      </c>
      <c r="L28" s="79">
        <v>160300</v>
      </c>
      <c r="M28" s="79">
        <v>160300</v>
      </c>
      <c r="N28" s="79">
        <v>160300</v>
      </c>
      <c r="O28" s="79">
        <v>160300</v>
      </c>
      <c r="P28" s="79">
        <v>160300</v>
      </c>
      <c r="Q28" s="79">
        <v>160300</v>
      </c>
      <c r="R28" s="79">
        <v>160300</v>
      </c>
      <c r="S28" s="79">
        <v>160300</v>
      </c>
      <c r="T28" s="79">
        <v>0</v>
      </c>
      <c r="U28" s="79">
        <v>0</v>
      </c>
      <c r="V28" s="79">
        <v>480900</v>
      </c>
      <c r="W28" s="80">
        <v>0</v>
      </c>
      <c r="X28" s="79">
        <v>0</v>
      </c>
      <c r="Y28" s="79">
        <v>480900</v>
      </c>
      <c r="Z28" s="79">
        <v>0</v>
      </c>
      <c r="AA28" s="80">
        <v>0</v>
      </c>
      <c r="AB28" s="80">
        <v>480900</v>
      </c>
      <c r="AC28" s="80">
        <v>0</v>
      </c>
      <c r="AD28" s="80">
        <v>0</v>
      </c>
      <c r="AE28" s="80">
        <v>480900</v>
      </c>
      <c r="AF28" s="80"/>
      <c r="AG28" s="80">
        <f>AG27*0.8</f>
        <v>0</v>
      </c>
      <c r="AH28" s="80">
        <v>480900</v>
      </c>
      <c r="AI28" s="80">
        <v>0</v>
      </c>
      <c r="AJ28" s="79">
        <v>0</v>
      </c>
      <c r="AK28" s="79">
        <v>480900</v>
      </c>
      <c r="AL28" s="79">
        <v>0</v>
      </c>
      <c r="AM28" s="80">
        <v>0</v>
      </c>
      <c r="AN28" s="80">
        <v>480900</v>
      </c>
      <c r="AO28" s="80">
        <v>0</v>
      </c>
      <c r="AP28" s="80">
        <v>0</v>
      </c>
      <c r="AQ28" s="80">
        <v>480900</v>
      </c>
    </row>
    <row r="29" spans="2:43" ht="16" x14ac:dyDescent="0.4">
      <c r="B29" s="86" t="s">
        <v>51</v>
      </c>
      <c r="C29" s="10"/>
      <c r="D29" s="13"/>
      <c r="E29" s="10"/>
      <c r="F29" s="10">
        <v>29500</v>
      </c>
      <c r="G29" s="10">
        <v>59811</v>
      </c>
      <c r="H29" s="30">
        <f>30311+59811</f>
        <v>90122</v>
      </c>
      <c r="I29" s="73">
        <f>I56-30311</f>
        <v>-30311</v>
      </c>
      <c r="J29" s="73">
        <f>30311+30311</f>
        <v>60622</v>
      </c>
      <c r="K29" s="73"/>
      <c r="L29" s="73"/>
      <c r="M29" s="73"/>
      <c r="N29" s="73"/>
      <c r="O29" s="73"/>
      <c r="P29" s="73"/>
      <c r="Q29" s="73"/>
      <c r="R29" s="73"/>
      <c r="S29" s="73"/>
      <c r="T29" s="73">
        <v>30000</v>
      </c>
      <c r="U29" s="73">
        <v>30000</v>
      </c>
      <c r="V29" s="73">
        <v>30000</v>
      </c>
      <c r="W29" s="73">
        <v>30000</v>
      </c>
      <c r="X29" s="73">
        <v>30000</v>
      </c>
      <c r="Y29" s="73">
        <v>30000</v>
      </c>
      <c r="Z29" s="73">
        <v>30000</v>
      </c>
      <c r="AA29" s="73">
        <v>30000</v>
      </c>
      <c r="AB29" s="73">
        <v>30000</v>
      </c>
      <c r="AC29" s="73">
        <v>30000</v>
      </c>
      <c r="AD29" s="73">
        <v>30000</v>
      </c>
      <c r="AE29" s="73">
        <v>30000</v>
      </c>
      <c r="AF29" s="73">
        <v>30000</v>
      </c>
      <c r="AG29" s="73">
        <v>30000</v>
      </c>
      <c r="AH29" s="73">
        <v>30000</v>
      </c>
      <c r="AI29" s="73">
        <v>30000</v>
      </c>
      <c r="AJ29" s="73">
        <v>30000</v>
      </c>
      <c r="AK29" s="73">
        <v>30000</v>
      </c>
      <c r="AL29" s="73">
        <v>30000</v>
      </c>
      <c r="AM29" s="73">
        <v>30000</v>
      </c>
      <c r="AN29" s="73">
        <v>30000</v>
      </c>
      <c r="AO29" s="73">
        <v>30000</v>
      </c>
      <c r="AP29" s="73">
        <v>30000</v>
      </c>
      <c r="AQ29" s="73">
        <v>30000</v>
      </c>
    </row>
    <row r="30" spans="2:43" ht="16" x14ac:dyDescent="0.4">
      <c r="B30" s="86" t="s">
        <v>53</v>
      </c>
      <c r="C30" s="10">
        <v>0</v>
      </c>
      <c r="D30" s="13">
        <f>2559.6+9363+18801+12944+49862+45333</f>
        <v>138862.6</v>
      </c>
      <c r="E30" s="10">
        <f>E53+E58+E66+E67+E84</f>
        <v>0</v>
      </c>
      <c r="F30" s="10">
        <v>236490.5</v>
      </c>
      <c r="G30" s="10">
        <v>282468.61</v>
      </c>
      <c r="H30" s="30">
        <f>161000+10000+166000+15000+9370</f>
        <v>361370</v>
      </c>
      <c r="I30" s="73">
        <f>I49+I53+I57+I67+83000-14065</f>
        <v>68935</v>
      </c>
      <c r="J30" s="73">
        <f>9000+9000+155971+33681+9526+14065</f>
        <v>231243</v>
      </c>
      <c r="K30" s="73">
        <f>9000+9000+155971</f>
        <v>173971</v>
      </c>
      <c r="L30" s="73">
        <v>90000</v>
      </c>
      <c r="M30" s="73">
        <v>90000</v>
      </c>
      <c r="N30" s="73">
        <v>90000</v>
      </c>
      <c r="O30" s="27">
        <v>90000</v>
      </c>
      <c r="P30" s="27">
        <v>90000</v>
      </c>
      <c r="Q30" s="27">
        <v>90000</v>
      </c>
      <c r="R30" s="27">
        <v>90000</v>
      </c>
      <c r="S30" s="27">
        <v>90000</v>
      </c>
      <c r="T30" s="27">
        <v>90000</v>
      </c>
      <c r="U30" s="27">
        <v>90000</v>
      </c>
      <c r="V30" s="27">
        <v>90000</v>
      </c>
      <c r="W30" s="27">
        <v>90000</v>
      </c>
      <c r="X30" s="27">
        <v>90000</v>
      </c>
      <c r="Y30" s="27">
        <v>90000</v>
      </c>
      <c r="Z30" s="27">
        <v>90000</v>
      </c>
      <c r="AA30" s="27">
        <v>90000</v>
      </c>
      <c r="AB30" s="27">
        <v>90000</v>
      </c>
      <c r="AC30" s="27">
        <v>90000</v>
      </c>
      <c r="AD30" s="27">
        <v>90000</v>
      </c>
      <c r="AE30" s="27">
        <v>90000</v>
      </c>
      <c r="AF30" s="27">
        <v>90000</v>
      </c>
      <c r="AG30" s="27">
        <v>90000</v>
      </c>
      <c r="AH30" s="27">
        <v>90000</v>
      </c>
      <c r="AI30" s="27">
        <v>90000</v>
      </c>
      <c r="AJ30" s="27">
        <v>90000</v>
      </c>
      <c r="AK30" s="27">
        <v>90000</v>
      </c>
      <c r="AL30" s="27">
        <v>90000</v>
      </c>
      <c r="AM30" s="27">
        <v>90000</v>
      </c>
      <c r="AN30" s="27">
        <v>90000</v>
      </c>
      <c r="AO30" s="27">
        <v>90000</v>
      </c>
      <c r="AP30" s="27">
        <v>90000</v>
      </c>
      <c r="AQ30" s="27">
        <v>90000</v>
      </c>
    </row>
    <row r="31" spans="2:43" ht="16" x14ac:dyDescent="0.4">
      <c r="B31" s="86" t="s">
        <v>57</v>
      </c>
      <c r="C31" s="10">
        <v>0</v>
      </c>
      <c r="D31" s="13">
        <v>25000</v>
      </c>
      <c r="E31" s="10" t="e">
        <f>E55+#REF!+E85+E52</f>
        <v>#REF!</v>
      </c>
      <c r="F31" s="10">
        <v>107200</v>
      </c>
      <c r="G31" s="10">
        <v>75000</v>
      </c>
      <c r="H31" s="30">
        <f>61000+75000</f>
        <v>136000</v>
      </c>
      <c r="I31" s="73">
        <f>I66+I61-25000</f>
        <v>-25000</v>
      </c>
      <c r="J31" s="73">
        <f>25000+24000+25000</f>
        <v>74000</v>
      </c>
      <c r="K31" s="73">
        <v>25000</v>
      </c>
      <c r="L31" s="73">
        <f>25000+1200</f>
        <v>26200</v>
      </c>
      <c r="M31" s="73">
        <f>25000+1200</f>
        <v>26200</v>
      </c>
      <c r="N31" s="73">
        <f>35000+1200</f>
        <v>36200</v>
      </c>
      <c r="O31" s="73">
        <f t="shared" ref="O31:S31" si="8">35000+1200</f>
        <v>36200</v>
      </c>
      <c r="P31" s="73">
        <f t="shared" si="8"/>
        <v>36200</v>
      </c>
      <c r="Q31" s="73">
        <f t="shared" si="8"/>
        <v>36200</v>
      </c>
      <c r="R31" s="73">
        <f t="shared" si="8"/>
        <v>36200</v>
      </c>
      <c r="S31" s="73">
        <f t="shared" si="8"/>
        <v>36200</v>
      </c>
      <c r="T31" s="73">
        <f>35000</f>
        <v>35000</v>
      </c>
      <c r="U31" s="73">
        <f>35000</f>
        <v>35000</v>
      </c>
      <c r="V31" s="73">
        <f>35000</f>
        <v>35000</v>
      </c>
      <c r="W31" s="73">
        <f>35000</f>
        <v>35000</v>
      </c>
      <c r="X31" s="73">
        <f>35000</f>
        <v>35000</v>
      </c>
      <c r="Y31" s="73">
        <f>35000</f>
        <v>35000</v>
      </c>
      <c r="Z31" s="73">
        <f>35000</f>
        <v>35000</v>
      </c>
      <c r="AA31" s="73">
        <f>35000</f>
        <v>35000</v>
      </c>
      <c r="AB31" s="73">
        <f>35000</f>
        <v>35000</v>
      </c>
      <c r="AC31" s="73">
        <f>35000</f>
        <v>35000</v>
      </c>
      <c r="AD31" s="73">
        <f>35000</f>
        <v>35000</v>
      </c>
      <c r="AE31" s="73">
        <f>35000</f>
        <v>35000</v>
      </c>
      <c r="AF31" s="73">
        <f>35000</f>
        <v>35000</v>
      </c>
      <c r="AG31" s="73">
        <f>35000</f>
        <v>35000</v>
      </c>
      <c r="AH31" s="73">
        <f>35000</f>
        <v>35000</v>
      </c>
      <c r="AI31" s="73">
        <f>35000</f>
        <v>35000</v>
      </c>
      <c r="AJ31" s="73">
        <f>35000</f>
        <v>35000</v>
      </c>
      <c r="AK31" s="73">
        <f>35000</f>
        <v>35000</v>
      </c>
      <c r="AL31" s="73">
        <f>35000</f>
        <v>35000</v>
      </c>
      <c r="AM31" s="73">
        <f>35000</f>
        <v>35000</v>
      </c>
      <c r="AN31" s="73">
        <f>35000</f>
        <v>35000</v>
      </c>
      <c r="AO31" s="73">
        <f>35000</f>
        <v>35000</v>
      </c>
      <c r="AP31" s="73">
        <f>35000</f>
        <v>35000</v>
      </c>
      <c r="AQ31" s="73">
        <f>35000</f>
        <v>35000</v>
      </c>
    </row>
    <row r="32" spans="2:43" ht="16" x14ac:dyDescent="0.4">
      <c r="B32" s="86" t="s">
        <v>60</v>
      </c>
      <c r="C32" s="10"/>
      <c r="D32" s="13"/>
      <c r="E32" s="10">
        <f>E59+E61+E65+E75+E77+E79+E82+E86</f>
        <v>0</v>
      </c>
      <c r="F32" s="10">
        <v>8692.25</v>
      </c>
      <c r="G32" s="10">
        <v>15790.9</v>
      </c>
      <c r="H32" s="30">
        <f>15000+15790.9</f>
        <v>30790.9</v>
      </c>
      <c r="I32" s="73">
        <f>I70+I63+I59+I51+I73+I74-1463-702-186-1554</f>
        <v>-3905</v>
      </c>
      <c r="J32" s="73">
        <f>15000+2063+1463+702+186+1554</f>
        <v>20968</v>
      </c>
      <c r="K32" s="73">
        <v>15000</v>
      </c>
      <c r="L32" s="73">
        <v>15000</v>
      </c>
      <c r="M32" s="73">
        <v>15000</v>
      </c>
      <c r="N32" s="73">
        <v>15000</v>
      </c>
      <c r="O32" s="73">
        <v>15000</v>
      </c>
      <c r="P32" s="73">
        <v>15000</v>
      </c>
      <c r="Q32" s="73">
        <v>15000</v>
      </c>
      <c r="R32" s="73">
        <v>15000</v>
      </c>
      <c r="S32" s="73">
        <v>15000</v>
      </c>
      <c r="T32" s="73">
        <v>16000</v>
      </c>
      <c r="U32" s="73">
        <v>17000</v>
      </c>
      <c r="V32" s="73">
        <v>18000</v>
      </c>
      <c r="W32" s="27">
        <v>20000</v>
      </c>
      <c r="X32" s="27">
        <v>20000</v>
      </c>
      <c r="Y32" s="27">
        <v>20000</v>
      </c>
      <c r="Z32" s="27">
        <v>20000</v>
      </c>
      <c r="AA32" s="27">
        <v>20000</v>
      </c>
      <c r="AB32" s="27">
        <v>20000</v>
      </c>
      <c r="AC32" s="27">
        <v>25000</v>
      </c>
      <c r="AD32" s="27">
        <v>25000</v>
      </c>
      <c r="AE32" s="27">
        <v>25000</v>
      </c>
      <c r="AF32" s="27">
        <v>27000</v>
      </c>
      <c r="AG32" s="27">
        <v>27000</v>
      </c>
      <c r="AH32" s="27">
        <v>27000</v>
      </c>
      <c r="AI32" s="27">
        <v>27000</v>
      </c>
      <c r="AJ32" s="27">
        <v>27000</v>
      </c>
      <c r="AK32" s="27">
        <v>27000</v>
      </c>
      <c r="AL32" s="27">
        <v>27000</v>
      </c>
      <c r="AM32" s="27">
        <v>27000</v>
      </c>
      <c r="AN32" s="27">
        <v>27000</v>
      </c>
      <c r="AO32" s="27">
        <v>27000</v>
      </c>
      <c r="AP32" s="27">
        <v>27000</v>
      </c>
      <c r="AQ32" s="27">
        <v>27000</v>
      </c>
    </row>
    <row r="33" spans="2:43" ht="16" x14ac:dyDescent="0.4">
      <c r="B33" s="86" t="s">
        <v>74</v>
      </c>
      <c r="I33" s="73">
        <f>15000+12000</f>
        <v>27000</v>
      </c>
      <c r="J33" s="73">
        <f>15000+12000</f>
        <v>27000</v>
      </c>
      <c r="K33" s="73">
        <f>15000+12000</f>
        <v>27000</v>
      </c>
      <c r="L33" s="73">
        <f t="shared" ref="L33:M33" si="9">15000+12000</f>
        <v>27000</v>
      </c>
      <c r="M33" s="73">
        <f t="shared" si="9"/>
        <v>27000</v>
      </c>
      <c r="N33" s="73">
        <f>15000+12000+12000</f>
        <v>39000</v>
      </c>
      <c r="O33" s="73">
        <f t="shared" ref="O33:S33" si="10">15000+12000+12000</f>
        <v>39000</v>
      </c>
      <c r="P33" s="73">
        <f t="shared" si="10"/>
        <v>39000</v>
      </c>
      <c r="Q33" s="73">
        <f t="shared" si="10"/>
        <v>39000</v>
      </c>
      <c r="R33" s="73">
        <f t="shared" si="10"/>
        <v>39000</v>
      </c>
      <c r="S33" s="73">
        <f t="shared" si="10"/>
        <v>39000</v>
      </c>
      <c r="T33" s="73">
        <v>24000</v>
      </c>
      <c r="U33" s="73">
        <v>24000</v>
      </c>
      <c r="V33" s="73">
        <v>24000</v>
      </c>
      <c r="W33" s="73">
        <v>24000</v>
      </c>
      <c r="X33" s="73">
        <v>24000</v>
      </c>
      <c r="Y33" s="73">
        <v>24000</v>
      </c>
      <c r="Z33" s="73">
        <v>24000</v>
      </c>
      <c r="AA33" s="73">
        <v>24000</v>
      </c>
      <c r="AB33" s="73">
        <v>12000</v>
      </c>
      <c r="AC33" s="73">
        <v>12000</v>
      </c>
      <c r="AD33" s="73">
        <v>12000</v>
      </c>
      <c r="AE33" s="73"/>
      <c r="AF33" s="73"/>
      <c r="AG33" s="73"/>
      <c r="AH33" s="73"/>
      <c r="AI33" s="73"/>
      <c r="AJ33" s="73"/>
      <c r="AK33" s="73"/>
      <c r="AL33" s="73"/>
      <c r="AM33" s="73"/>
      <c r="AN33" s="73"/>
      <c r="AO33" s="73"/>
      <c r="AP33" s="73"/>
      <c r="AQ33" s="81"/>
    </row>
    <row r="34" spans="2:43" ht="16" x14ac:dyDescent="0.4">
      <c r="B34" s="59" t="s">
        <v>73</v>
      </c>
      <c r="C34" s="10">
        <v>0</v>
      </c>
      <c r="D34" s="13">
        <v>0</v>
      </c>
      <c r="E34" s="10">
        <v>0</v>
      </c>
      <c r="F34" s="10"/>
      <c r="G34" s="10">
        <v>200000</v>
      </c>
      <c r="H34" s="36">
        <f>200000+211753-453928+11800</f>
        <v>-30375</v>
      </c>
      <c r="I34" s="73">
        <v>55404.03</v>
      </c>
      <c r="J34" s="73">
        <f>200000+144595.97</f>
        <v>344595.97</v>
      </c>
      <c r="K34" s="73">
        <v>300000</v>
      </c>
      <c r="L34" s="73">
        <v>400000</v>
      </c>
      <c r="M34" s="73">
        <v>400000</v>
      </c>
      <c r="N34" s="73">
        <v>500000</v>
      </c>
      <c r="O34" s="73">
        <v>500000</v>
      </c>
      <c r="P34" s="73">
        <v>500000</v>
      </c>
      <c r="Q34" s="73">
        <v>500000</v>
      </c>
      <c r="R34" s="73">
        <v>500000</v>
      </c>
      <c r="S34" s="73">
        <v>500000</v>
      </c>
      <c r="T34" s="27">
        <f>100000+100000</f>
        <v>200000</v>
      </c>
      <c r="U34" s="27">
        <f t="shared" ref="U34:AA34" si="11">100000+100000</f>
        <v>200000</v>
      </c>
      <c r="V34" s="27">
        <f t="shared" si="11"/>
        <v>200000</v>
      </c>
      <c r="W34" s="27">
        <f t="shared" si="11"/>
        <v>200000</v>
      </c>
      <c r="X34" s="27">
        <f t="shared" si="11"/>
        <v>200000</v>
      </c>
      <c r="Y34" s="27">
        <f t="shared" si="11"/>
        <v>200000</v>
      </c>
      <c r="Z34" s="27">
        <f t="shared" si="11"/>
        <v>200000</v>
      </c>
      <c r="AA34" s="27">
        <f t="shared" si="11"/>
        <v>200000</v>
      </c>
      <c r="AB34" s="27">
        <v>100000</v>
      </c>
      <c r="AC34" s="27">
        <v>100000</v>
      </c>
      <c r="AD34" s="27">
        <v>100000</v>
      </c>
      <c r="AE34" s="27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</row>
    <row r="35" spans="2:43" ht="16" x14ac:dyDescent="0.4">
      <c r="B35" s="86" t="s">
        <v>55</v>
      </c>
      <c r="C35" s="10">
        <v>0</v>
      </c>
      <c r="D35" s="13">
        <v>26750</v>
      </c>
      <c r="E35" s="10">
        <v>10000</v>
      </c>
      <c r="F35" s="10">
        <v>10000</v>
      </c>
      <c r="G35" s="10">
        <v>735</v>
      </c>
      <c r="H35" s="30">
        <f>8430.24+7914.51</f>
        <v>16344.75</v>
      </c>
      <c r="I35" s="73">
        <v>5000</v>
      </c>
      <c r="J35" s="73">
        <v>5000</v>
      </c>
      <c r="K35" s="73">
        <v>5000</v>
      </c>
      <c r="L35" s="73"/>
      <c r="M35" s="73"/>
      <c r="N35" s="73"/>
      <c r="O35" s="73"/>
      <c r="P35" s="73"/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  <c r="AD35" s="73"/>
      <c r="AE35" s="73"/>
      <c r="AF35" s="73"/>
      <c r="AG35" s="73"/>
      <c r="AH35" s="73"/>
      <c r="AI35" s="73"/>
      <c r="AJ35" s="73"/>
      <c r="AK35" s="73"/>
      <c r="AL35" s="73"/>
      <c r="AM35" s="73"/>
      <c r="AN35" s="73"/>
      <c r="AO35" s="73"/>
      <c r="AP35" s="73"/>
      <c r="AQ35" s="73"/>
    </row>
    <row r="36" spans="2:43" ht="16" x14ac:dyDescent="0.4">
      <c r="B36" s="61" t="s">
        <v>61</v>
      </c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</row>
    <row r="37" spans="2:43" ht="16" x14ac:dyDescent="0.4">
      <c r="B37" s="86" t="s">
        <v>77</v>
      </c>
      <c r="C37" s="10">
        <v>0</v>
      </c>
      <c r="D37" s="13">
        <f>9398+350000+13513+70210</f>
        <v>443121</v>
      </c>
      <c r="E37" s="10">
        <f>E54+16314+11422+350000</f>
        <v>377736</v>
      </c>
      <c r="F37" s="10">
        <v>548340.32000000007</v>
      </c>
      <c r="G37" s="10">
        <v>807449.54</v>
      </c>
      <c r="H37" s="30">
        <f>70210+10500+882479+40627.7+36764+25400</f>
        <v>1065980.7</v>
      </c>
      <c r="I37" s="73">
        <f>I50+I72-37451.89</f>
        <v>-37451.89</v>
      </c>
      <c r="J37" s="73">
        <f>125000+53463+20000+13980+37451.89</f>
        <v>249894.89</v>
      </c>
      <c r="K37" s="73">
        <f>125000+20000</f>
        <v>145000</v>
      </c>
      <c r="L37" s="73">
        <f t="shared" ref="L37:R37" si="12">125000+20000</f>
        <v>145000</v>
      </c>
      <c r="M37" s="73">
        <f t="shared" si="12"/>
        <v>145000</v>
      </c>
      <c r="N37" s="73">
        <f t="shared" si="12"/>
        <v>145000</v>
      </c>
      <c r="O37" s="73">
        <f t="shared" si="12"/>
        <v>145000</v>
      </c>
      <c r="P37" s="73">
        <f t="shared" si="12"/>
        <v>145000</v>
      </c>
      <c r="Q37" s="73">
        <f t="shared" si="12"/>
        <v>145000</v>
      </c>
      <c r="R37" s="73">
        <f t="shared" si="12"/>
        <v>145000</v>
      </c>
      <c r="S37" s="73">
        <f t="shared" ref="S37:AQ37" si="13">125000+125000+10500</f>
        <v>260500</v>
      </c>
      <c r="T37" s="73">
        <f t="shared" si="13"/>
        <v>260500</v>
      </c>
      <c r="U37" s="73">
        <f t="shared" si="13"/>
        <v>260500</v>
      </c>
      <c r="V37" s="73">
        <f t="shared" si="13"/>
        <v>260500</v>
      </c>
      <c r="W37" s="73">
        <f t="shared" si="13"/>
        <v>260500</v>
      </c>
      <c r="X37" s="73">
        <f t="shared" si="13"/>
        <v>260500</v>
      </c>
      <c r="Y37" s="73">
        <f t="shared" si="13"/>
        <v>260500</v>
      </c>
      <c r="Z37" s="73">
        <f t="shared" si="13"/>
        <v>260500</v>
      </c>
      <c r="AA37" s="73">
        <f t="shared" si="13"/>
        <v>260500</v>
      </c>
      <c r="AB37" s="73">
        <f t="shared" si="13"/>
        <v>260500</v>
      </c>
      <c r="AC37" s="73">
        <f t="shared" si="13"/>
        <v>260500</v>
      </c>
      <c r="AD37" s="73">
        <f t="shared" si="13"/>
        <v>260500</v>
      </c>
      <c r="AE37" s="73">
        <f t="shared" si="13"/>
        <v>260500</v>
      </c>
      <c r="AF37" s="73">
        <f t="shared" si="13"/>
        <v>260500</v>
      </c>
      <c r="AG37" s="73">
        <f t="shared" si="13"/>
        <v>260500</v>
      </c>
      <c r="AH37" s="73">
        <f t="shared" si="13"/>
        <v>260500</v>
      </c>
      <c r="AI37" s="73">
        <f t="shared" si="13"/>
        <v>260500</v>
      </c>
      <c r="AJ37" s="73">
        <f t="shared" si="13"/>
        <v>260500</v>
      </c>
      <c r="AK37" s="73">
        <f t="shared" si="13"/>
        <v>260500</v>
      </c>
      <c r="AL37" s="73">
        <f t="shared" si="13"/>
        <v>260500</v>
      </c>
      <c r="AM37" s="73">
        <f t="shared" si="13"/>
        <v>260500</v>
      </c>
      <c r="AN37" s="73">
        <f t="shared" si="13"/>
        <v>260500</v>
      </c>
      <c r="AO37" s="73">
        <f t="shared" si="13"/>
        <v>260500</v>
      </c>
      <c r="AP37" s="73">
        <f t="shared" si="13"/>
        <v>260500</v>
      </c>
      <c r="AQ37" s="73">
        <f t="shared" si="13"/>
        <v>260500</v>
      </c>
    </row>
    <row r="38" spans="2:43" ht="16" x14ac:dyDescent="0.4">
      <c r="B38" s="86" t="s">
        <v>52</v>
      </c>
      <c r="C38" s="10">
        <v>0</v>
      </c>
      <c r="D38" s="13">
        <f>115.36+825+1339+1601+460+1242+1986+521+3276+942</f>
        <v>12307.36</v>
      </c>
      <c r="E38" s="10">
        <f>E50+E51+E80+E87</f>
        <v>0</v>
      </c>
      <c r="F38" s="10">
        <v>2870</v>
      </c>
      <c r="G38" s="10">
        <v>57727.01</v>
      </c>
      <c r="H38" s="30">
        <f>10000+57727.01</f>
        <v>67727.010000000009</v>
      </c>
      <c r="I38" s="73">
        <f>I55+I62+I68-2081-1810.18-1487-172</f>
        <v>-5550.18</v>
      </c>
      <c r="J38" s="73">
        <f>10000+2081+1810.18+1487+172</f>
        <v>15550.18</v>
      </c>
      <c r="K38" s="73">
        <v>10000</v>
      </c>
      <c r="L38" s="73">
        <v>10000</v>
      </c>
      <c r="M38" s="73">
        <v>10000</v>
      </c>
      <c r="N38" s="73">
        <v>10000</v>
      </c>
      <c r="O38" s="27">
        <v>12500</v>
      </c>
      <c r="P38" s="27">
        <v>12500</v>
      </c>
      <c r="Q38" s="27">
        <v>12500</v>
      </c>
      <c r="R38" s="27">
        <v>12500</v>
      </c>
      <c r="S38" s="27">
        <v>12500</v>
      </c>
      <c r="T38" s="27">
        <v>20000</v>
      </c>
      <c r="U38" s="27">
        <v>25000</v>
      </c>
      <c r="V38" s="27">
        <v>25000</v>
      </c>
      <c r="W38" s="27">
        <v>25000</v>
      </c>
      <c r="X38" s="27">
        <v>25000</v>
      </c>
      <c r="Y38" s="27">
        <v>25000</v>
      </c>
      <c r="Z38" s="27">
        <v>25000</v>
      </c>
      <c r="AA38" s="27">
        <v>30000</v>
      </c>
      <c r="AB38" s="27">
        <v>30000</v>
      </c>
      <c r="AC38" s="27">
        <v>30000</v>
      </c>
      <c r="AD38" s="27">
        <v>30000</v>
      </c>
      <c r="AE38" s="27">
        <v>30000</v>
      </c>
      <c r="AF38" s="27">
        <v>30000</v>
      </c>
      <c r="AG38" s="27">
        <v>30000</v>
      </c>
      <c r="AH38" s="27">
        <v>30000</v>
      </c>
      <c r="AI38" s="27">
        <v>30000</v>
      </c>
      <c r="AJ38" s="27">
        <v>30000</v>
      </c>
      <c r="AK38" s="27">
        <v>30000</v>
      </c>
      <c r="AL38" s="27">
        <v>30000</v>
      </c>
      <c r="AM38" s="27">
        <v>30000</v>
      </c>
      <c r="AN38" s="27">
        <v>30000</v>
      </c>
      <c r="AO38" s="27">
        <v>30000</v>
      </c>
      <c r="AP38" s="27">
        <v>30000</v>
      </c>
      <c r="AQ38" s="27">
        <v>30000</v>
      </c>
    </row>
    <row r="39" spans="2:43" ht="16" x14ac:dyDescent="0.4">
      <c r="B39" s="86" t="s">
        <v>76</v>
      </c>
      <c r="C39" s="10">
        <v>0</v>
      </c>
      <c r="D39" s="13">
        <v>157218</v>
      </c>
      <c r="E39" s="10">
        <v>0</v>
      </c>
      <c r="F39" s="10">
        <v>32617.195</v>
      </c>
      <c r="G39" s="10">
        <v>39103</v>
      </c>
      <c r="H39" s="30">
        <f>39103+20000</f>
        <v>59103</v>
      </c>
      <c r="I39" s="73">
        <f>I58+I65</f>
        <v>0</v>
      </c>
      <c r="J39" s="73">
        <v>30000</v>
      </c>
      <c r="K39" s="73">
        <v>30000</v>
      </c>
      <c r="L39" s="73">
        <v>30000</v>
      </c>
      <c r="M39" s="73">
        <v>30000</v>
      </c>
      <c r="N39" s="73">
        <v>15000</v>
      </c>
      <c r="O39" s="73">
        <v>30000</v>
      </c>
      <c r="P39" s="73">
        <v>30000</v>
      </c>
      <c r="Q39" s="73">
        <v>30000</v>
      </c>
      <c r="R39" s="73">
        <v>30000</v>
      </c>
      <c r="S39" s="73">
        <v>30000</v>
      </c>
      <c r="T39" s="73">
        <v>30000</v>
      </c>
      <c r="U39" s="73">
        <v>30000</v>
      </c>
      <c r="V39" s="73">
        <v>30000</v>
      </c>
      <c r="W39" s="73">
        <v>30000</v>
      </c>
      <c r="X39" s="73">
        <v>30000</v>
      </c>
      <c r="Y39" s="73">
        <v>30000</v>
      </c>
      <c r="Z39" s="73">
        <v>30000</v>
      </c>
      <c r="AA39" s="73">
        <v>30000</v>
      </c>
      <c r="AB39" s="73">
        <v>30000</v>
      </c>
      <c r="AC39" s="73">
        <v>30000</v>
      </c>
      <c r="AD39" s="73">
        <v>30000</v>
      </c>
      <c r="AE39" s="73">
        <v>30000</v>
      </c>
      <c r="AF39" s="73">
        <v>30000</v>
      </c>
      <c r="AG39" s="73">
        <v>30000</v>
      </c>
      <c r="AH39" s="73">
        <v>30000</v>
      </c>
      <c r="AI39" s="73">
        <v>30000</v>
      </c>
      <c r="AJ39" s="73">
        <v>30000</v>
      </c>
      <c r="AK39" s="73">
        <v>30000</v>
      </c>
      <c r="AL39" s="73">
        <v>30000</v>
      </c>
      <c r="AM39" s="73">
        <v>30000</v>
      </c>
      <c r="AN39" s="73">
        <v>30000</v>
      </c>
      <c r="AO39" s="73">
        <v>30000</v>
      </c>
      <c r="AP39" s="73">
        <v>30000</v>
      </c>
      <c r="AQ39" s="73">
        <v>30000</v>
      </c>
    </row>
    <row r="40" spans="2:43" ht="16" x14ac:dyDescent="0.4">
      <c r="B40" s="86" t="s">
        <v>78</v>
      </c>
      <c r="C40" s="10">
        <v>0</v>
      </c>
      <c r="D40" s="13">
        <f>514+460+140+1463+1431+5351+8145+2775+124+20010.25+D68</f>
        <v>40413.25</v>
      </c>
      <c r="E40" s="10">
        <f>E68+E76</f>
        <v>0</v>
      </c>
      <c r="F40" s="4">
        <v>15600</v>
      </c>
      <c r="G40" s="4">
        <v>37643.910000000003</v>
      </c>
      <c r="H40" s="31">
        <f>15600+89000+23643+3575</f>
        <v>131818</v>
      </c>
      <c r="I40" s="27">
        <f>16000+100000+10000+4492</f>
        <v>130492</v>
      </c>
      <c r="J40" s="27">
        <f t="shared" ref="J40:AQ40" si="14">15600+100000</f>
        <v>115600</v>
      </c>
      <c r="K40" s="27">
        <f t="shared" si="14"/>
        <v>115600</v>
      </c>
      <c r="L40" s="27">
        <f t="shared" si="14"/>
        <v>115600</v>
      </c>
      <c r="M40" s="27">
        <f t="shared" si="14"/>
        <v>115600</v>
      </c>
      <c r="N40" s="27">
        <f t="shared" si="14"/>
        <v>115600</v>
      </c>
      <c r="O40" s="27">
        <f t="shared" si="14"/>
        <v>115600</v>
      </c>
      <c r="P40" s="27">
        <f t="shared" si="14"/>
        <v>115600</v>
      </c>
      <c r="Q40" s="27">
        <f t="shared" si="14"/>
        <v>115600</v>
      </c>
      <c r="R40" s="27">
        <f t="shared" si="14"/>
        <v>115600</v>
      </c>
      <c r="S40" s="27">
        <f t="shared" si="14"/>
        <v>115600</v>
      </c>
      <c r="T40" s="27">
        <f t="shared" si="14"/>
        <v>115600</v>
      </c>
      <c r="U40" s="27">
        <f t="shared" si="14"/>
        <v>115600</v>
      </c>
      <c r="V40" s="27">
        <f t="shared" si="14"/>
        <v>115600</v>
      </c>
      <c r="W40" s="27">
        <f t="shared" si="14"/>
        <v>115600</v>
      </c>
      <c r="X40" s="27">
        <f t="shared" si="14"/>
        <v>115600</v>
      </c>
      <c r="Y40" s="27">
        <f t="shared" si="14"/>
        <v>115600</v>
      </c>
      <c r="Z40" s="27">
        <f t="shared" si="14"/>
        <v>115600</v>
      </c>
      <c r="AA40" s="27">
        <f t="shared" si="14"/>
        <v>115600</v>
      </c>
      <c r="AB40" s="27">
        <f t="shared" si="14"/>
        <v>115600</v>
      </c>
      <c r="AC40" s="27">
        <f t="shared" si="14"/>
        <v>115600</v>
      </c>
      <c r="AD40" s="27">
        <f t="shared" si="14"/>
        <v>115600</v>
      </c>
      <c r="AE40" s="27">
        <f t="shared" si="14"/>
        <v>115600</v>
      </c>
      <c r="AF40" s="27">
        <f t="shared" si="14"/>
        <v>115600</v>
      </c>
      <c r="AG40" s="27">
        <f t="shared" si="14"/>
        <v>115600</v>
      </c>
      <c r="AH40" s="27">
        <f t="shared" si="14"/>
        <v>115600</v>
      </c>
      <c r="AI40" s="27">
        <f t="shared" si="14"/>
        <v>115600</v>
      </c>
      <c r="AJ40" s="27">
        <f t="shared" si="14"/>
        <v>115600</v>
      </c>
      <c r="AK40" s="27">
        <f t="shared" si="14"/>
        <v>115600</v>
      </c>
      <c r="AL40" s="27">
        <f t="shared" si="14"/>
        <v>115600</v>
      </c>
      <c r="AM40" s="27">
        <f t="shared" si="14"/>
        <v>115600</v>
      </c>
      <c r="AN40" s="27">
        <f t="shared" si="14"/>
        <v>115600</v>
      </c>
      <c r="AO40" s="27">
        <f t="shared" si="14"/>
        <v>115600</v>
      </c>
      <c r="AP40" s="27">
        <f t="shared" si="14"/>
        <v>115600</v>
      </c>
      <c r="AQ40" s="27">
        <f t="shared" si="14"/>
        <v>115600</v>
      </c>
    </row>
    <row r="41" spans="2:43" ht="16" x14ac:dyDescent="0.4">
      <c r="B41" s="62" t="s">
        <v>62</v>
      </c>
      <c r="C41" s="11">
        <v>0</v>
      </c>
      <c r="D41" s="14">
        <f>170+5437.8+10395.88+2301.47+1834.15</f>
        <v>20139.300000000003</v>
      </c>
      <c r="E41" s="11">
        <f>E49+E73</f>
        <v>0</v>
      </c>
      <c r="F41" s="11">
        <v>14658.8</v>
      </c>
      <c r="G41" s="11">
        <v>6606.15</v>
      </c>
      <c r="H41" s="35">
        <f>8479.16+20000</f>
        <v>28479.16</v>
      </c>
      <c r="I41" s="82">
        <f>I60+I71-18771.95-8803.96-692.71-9892.09</f>
        <v>-38160.71</v>
      </c>
      <c r="J41" s="82">
        <f>50000+18771.95+8803.96+692.71+9892.09</f>
        <v>88160.71</v>
      </c>
      <c r="K41" s="82">
        <v>50000</v>
      </c>
      <c r="L41" s="82">
        <v>50000</v>
      </c>
      <c r="M41" s="82">
        <v>50000</v>
      </c>
      <c r="N41" s="82">
        <v>20000</v>
      </c>
      <c r="O41" s="82">
        <v>50000</v>
      </c>
      <c r="P41" s="82">
        <v>50000</v>
      </c>
      <c r="Q41" s="82">
        <v>50000</v>
      </c>
      <c r="R41" s="82">
        <v>50000</v>
      </c>
      <c r="S41" s="82">
        <v>50000</v>
      </c>
      <c r="T41" s="82">
        <v>50000</v>
      </c>
      <c r="U41" s="82">
        <v>60000</v>
      </c>
      <c r="V41" s="82">
        <v>60000</v>
      </c>
      <c r="W41" s="27">
        <v>65000</v>
      </c>
      <c r="X41" s="27">
        <v>65000</v>
      </c>
      <c r="Y41" s="27">
        <v>65000</v>
      </c>
      <c r="Z41" s="27">
        <v>65000</v>
      </c>
      <c r="AA41" s="27">
        <v>65000</v>
      </c>
      <c r="AB41" s="27">
        <v>65000</v>
      </c>
      <c r="AC41" s="27">
        <v>70000</v>
      </c>
      <c r="AD41" s="27">
        <v>70000</v>
      </c>
      <c r="AE41" s="27">
        <v>70000</v>
      </c>
      <c r="AF41" s="27">
        <v>70000</v>
      </c>
      <c r="AG41" s="27">
        <v>70000</v>
      </c>
      <c r="AH41" s="27">
        <v>70000</v>
      </c>
      <c r="AI41" s="27">
        <v>70000</v>
      </c>
      <c r="AJ41" s="27">
        <v>70000</v>
      </c>
      <c r="AK41" s="27">
        <v>70000</v>
      </c>
      <c r="AL41" s="27">
        <v>70000</v>
      </c>
      <c r="AM41" s="27">
        <v>70000</v>
      </c>
      <c r="AN41" s="27">
        <v>70000</v>
      </c>
      <c r="AO41" s="27">
        <v>70000</v>
      </c>
      <c r="AP41" s="27">
        <v>70000</v>
      </c>
      <c r="AQ41" s="27">
        <v>70000</v>
      </c>
    </row>
    <row r="42" spans="2:43" ht="16" x14ac:dyDescent="0.4">
      <c r="B42" s="59" t="s">
        <v>54</v>
      </c>
      <c r="C42" s="10">
        <v>0</v>
      </c>
      <c r="D42" s="13">
        <v>0</v>
      </c>
      <c r="E42" s="4">
        <v>0</v>
      </c>
      <c r="F42" s="4">
        <v>0</v>
      </c>
      <c r="G42" s="4">
        <v>0</v>
      </c>
      <c r="H42" s="31"/>
      <c r="I42" s="27"/>
      <c r="J42" s="27">
        <v>220748</v>
      </c>
      <c r="K42" s="27"/>
      <c r="L42" s="27"/>
      <c r="M42" s="27"/>
      <c r="N42" s="27"/>
      <c r="O42" s="27"/>
      <c r="P42" s="27"/>
      <c r="Q42" s="27">
        <v>1761030</v>
      </c>
      <c r="R42" s="27">
        <v>1761030</v>
      </c>
      <c r="S42" s="27">
        <f>1761030+395297.11</f>
        <v>2156327.11</v>
      </c>
      <c r="T42" s="27">
        <v>395297.11</v>
      </c>
      <c r="U42" s="27">
        <v>395297.11</v>
      </c>
      <c r="V42" s="27">
        <v>2474493.4508021334</v>
      </c>
      <c r="W42" s="27">
        <f>2474493.45080213+395297.11</f>
        <v>2869790.56080213</v>
      </c>
      <c r="X42" s="27">
        <f>2474493.45080213+395297.11</f>
        <v>2869790.56080213</v>
      </c>
      <c r="Y42" s="27">
        <v>395297.11</v>
      </c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</row>
    <row r="43" spans="2:43" ht="16" x14ac:dyDescent="0.4">
      <c r="B43" s="59" t="s">
        <v>44</v>
      </c>
      <c r="C43" s="10">
        <v>0</v>
      </c>
      <c r="D43" s="13">
        <f>D10*0.2</f>
        <v>105074.6</v>
      </c>
      <c r="E43" s="10">
        <f>(E9+E10)*0.2</f>
        <v>124307</v>
      </c>
      <c r="F43" s="21"/>
      <c r="G43" s="10">
        <v>0</v>
      </c>
      <c r="H43" s="30">
        <f>116021-27+1717+252143</f>
        <v>369854</v>
      </c>
      <c r="I43" s="73"/>
      <c r="J43" s="73"/>
      <c r="K43" s="73">
        <f>(H9+H10+I9+I10+J9+J10)*0.25</f>
        <v>181017.73749999999</v>
      </c>
      <c r="L43" s="73"/>
      <c r="M43" s="73"/>
      <c r="N43" s="73">
        <f t="shared" ref="N43:AO43" si="15">(K9+K10+L9+L10+M9+M10)*0.25</f>
        <v>1135800</v>
      </c>
      <c r="O43" s="73"/>
      <c r="P43" s="73"/>
      <c r="Q43" s="73">
        <f t="shared" si="15"/>
        <v>1344000</v>
      </c>
      <c r="R43" s="73"/>
      <c r="S43" s="73"/>
      <c r="T43" s="73">
        <f t="shared" si="15"/>
        <v>2496000</v>
      </c>
      <c r="U43" s="73"/>
      <c r="V43" s="73"/>
      <c r="W43" s="73">
        <f t="shared" si="15"/>
        <v>3840000</v>
      </c>
      <c r="X43" s="73"/>
      <c r="Y43" s="73"/>
      <c r="Z43" s="73">
        <f t="shared" si="15"/>
        <v>4032000</v>
      </c>
      <c r="AA43" s="73"/>
      <c r="AB43" s="73"/>
      <c r="AC43" s="73">
        <f t="shared" si="15"/>
        <v>3456000</v>
      </c>
      <c r="AD43" s="73"/>
      <c r="AE43" s="73"/>
      <c r="AF43" s="73">
        <f t="shared" si="15"/>
        <v>5760000</v>
      </c>
      <c r="AG43" s="73"/>
      <c r="AH43" s="73"/>
      <c r="AI43" s="73">
        <f t="shared" si="15"/>
        <v>5760000</v>
      </c>
      <c r="AJ43" s="73"/>
      <c r="AK43" s="73"/>
      <c r="AL43" s="73">
        <f t="shared" si="15"/>
        <v>5760000</v>
      </c>
      <c r="AM43" s="73"/>
      <c r="AN43" s="73"/>
      <c r="AO43" s="73">
        <f t="shared" si="15"/>
        <v>4224000</v>
      </c>
      <c r="AP43" s="73"/>
      <c r="AQ43" s="73"/>
    </row>
    <row r="44" spans="2:43" ht="16" hidden="1" x14ac:dyDescent="0.4">
      <c r="B44" s="59" t="s">
        <v>56</v>
      </c>
      <c r="C44" s="10"/>
      <c r="D44" s="13"/>
      <c r="E44" s="10"/>
      <c r="F44" s="10"/>
      <c r="G44" s="10"/>
      <c r="H44" s="30">
        <f>399186+14000</f>
        <v>413186</v>
      </c>
      <c r="I44" s="27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</row>
    <row r="45" spans="2:43" s="6" customFormat="1" ht="16" x14ac:dyDescent="0.4">
      <c r="B45" s="47" t="s">
        <v>71</v>
      </c>
      <c r="C45" s="48">
        <v>0</v>
      </c>
      <c r="D45" s="48">
        <f>SUM(D24:D44)</f>
        <v>1692409.4350000001</v>
      </c>
      <c r="E45" s="48" t="e">
        <f>SUM(E24:E44)</f>
        <v>#REF!</v>
      </c>
      <c r="F45" s="48">
        <f>SUM(F24:F44)</f>
        <v>1136378.8350000002</v>
      </c>
      <c r="G45" s="48">
        <f>SUM(G24:G44)</f>
        <v>1792983.4299999997</v>
      </c>
      <c r="H45" s="49">
        <f t="shared" ref="H45:AQ45" si="16">SUM(H19:H44)</f>
        <v>4576261.83</v>
      </c>
      <c r="I45" s="83">
        <f t="shared" si="16"/>
        <v>513210.24999999994</v>
      </c>
      <c r="J45" s="83">
        <f t="shared" si="16"/>
        <v>1835697.7499999998</v>
      </c>
      <c r="K45" s="83">
        <f t="shared" si="16"/>
        <v>1885888.7375</v>
      </c>
      <c r="L45" s="83">
        <f t="shared" si="16"/>
        <v>1957100</v>
      </c>
      <c r="M45" s="83">
        <f t="shared" si="16"/>
        <v>1957100</v>
      </c>
      <c r="N45" s="83">
        <f t="shared" si="16"/>
        <v>3169900</v>
      </c>
      <c r="O45" s="83">
        <f t="shared" si="16"/>
        <v>2101187</v>
      </c>
      <c r="P45" s="83">
        <f t="shared" si="16"/>
        <v>2101187</v>
      </c>
      <c r="Q45" s="83">
        <f t="shared" si="16"/>
        <v>5486217</v>
      </c>
      <c r="R45" s="83">
        <f t="shared" si="16"/>
        <v>4232217</v>
      </c>
      <c r="S45" s="83">
        <f t="shared" si="16"/>
        <v>4743014.1099999994</v>
      </c>
      <c r="T45" s="83">
        <f t="shared" si="16"/>
        <v>5382420.9299999997</v>
      </c>
      <c r="U45" s="83">
        <f t="shared" si="16"/>
        <v>2636820.9300000002</v>
      </c>
      <c r="V45" s="83">
        <f t="shared" si="16"/>
        <v>5551317.2708021337</v>
      </c>
      <c r="W45" s="83">
        <f t="shared" si="16"/>
        <v>9088514.3808021303</v>
      </c>
      <c r="X45" s="83">
        <f t="shared" si="16"/>
        <v>5372714.3808021303</v>
      </c>
      <c r="Y45" s="83">
        <f t="shared" si="16"/>
        <v>3688120.93</v>
      </c>
      <c r="Z45" s="83">
        <f t="shared" si="16"/>
        <v>6659123.8200000003</v>
      </c>
      <c r="AA45" s="83">
        <f t="shared" si="16"/>
        <v>2756323.8200000003</v>
      </c>
      <c r="AB45" s="83">
        <f t="shared" si="16"/>
        <v>3434223.8200000003</v>
      </c>
      <c r="AC45" s="83">
        <f t="shared" si="16"/>
        <v>6196123.8200000003</v>
      </c>
      <c r="AD45" s="83">
        <f t="shared" si="16"/>
        <v>2740123.8200000003</v>
      </c>
      <c r="AE45" s="83">
        <f t="shared" si="16"/>
        <v>3109023.8200000003</v>
      </c>
      <c r="AF45" s="83">
        <f t="shared" si="16"/>
        <v>8980643.8200000003</v>
      </c>
      <c r="AG45" s="83">
        <f t="shared" si="16"/>
        <v>2911643.82</v>
      </c>
      <c r="AH45" s="83">
        <f t="shared" si="16"/>
        <v>3701543.82</v>
      </c>
      <c r="AI45" s="83">
        <f t="shared" si="16"/>
        <v>8671643.8200000003</v>
      </c>
      <c r="AJ45" s="83">
        <f t="shared" si="16"/>
        <v>2911643.82</v>
      </c>
      <c r="AK45" s="83">
        <f t="shared" si="16"/>
        <v>3701543.82</v>
      </c>
      <c r="AL45" s="83">
        <f t="shared" si="16"/>
        <v>8671643.8200000003</v>
      </c>
      <c r="AM45" s="83">
        <f t="shared" si="16"/>
        <v>2911643.82</v>
      </c>
      <c r="AN45" s="83">
        <f t="shared" si="16"/>
        <v>3701543.82</v>
      </c>
      <c r="AO45" s="83">
        <f t="shared" si="16"/>
        <v>7135643.8200000003</v>
      </c>
      <c r="AP45" s="83">
        <f t="shared" si="16"/>
        <v>2911643.82</v>
      </c>
      <c r="AQ45" s="83">
        <f t="shared" si="16"/>
        <v>3392543.82</v>
      </c>
    </row>
    <row r="46" spans="2:43" s="6" customFormat="1" ht="16" x14ac:dyDescent="0.4">
      <c r="B46" s="42" t="s">
        <v>82</v>
      </c>
      <c r="C46" s="9"/>
      <c r="D46" s="12"/>
      <c r="E46" s="9"/>
      <c r="F46" s="9"/>
      <c r="G46" s="9"/>
      <c r="H46" s="29">
        <f t="shared" ref="H46:AQ46" si="17">H17-H45</f>
        <v>648200.16999999993</v>
      </c>
      <c r="I46" s="72">
        <f t="shared" si="17"/>
        <v>-271511.29999999993</v>
      </c>
      <c r="J46" s="72">
        <f t="shared" si="17"/>
        <v>-1353325.7499999998</v>
      </c>
      <c r="K46" s="72">
        <f t="shared" si="17"/>
        <v>96855.012499999953</v>
      </c>
      <c r="L46" s="72">
        <f t="shared" si="17"/>
        <v>-607100</v>
      </c>
      <c r="M46" s="72">
        <f t="shared" si="17"/>
        <v>-113900</v>
      </c>
      <c r="N46" s="72">
        <f t="shared" si="17"/>
        <v>-2029350</v>
      </c>
      <c r="O46" s="72">
        <f t="shared" si="17"/>
        <v>202813</v>
      </c>
      <c r="P46" s="72">
        <f t="shared" si="17"/>
        <v>202813</v>
      </c>
      <c r="Q46" s="72">
        <f t="shared" si="17"/>
        <v>-2035417</v>
      </c>
      <c r="R46" s="72">
        <f t="shared" si="17"/>
        <v>-1160217</v>
      </c>
      <c r="S46" s="72">
        <f t="shared" si="17"/>
        <v>3183374.8900000006</v>
      </c>
      <c r="T46" s="72">
        <f t="shared" si="17"/>
        <v>612593.34750000015</v>
      </c>
      <c r="U46" s="72">
        <f t="shared" si="17"/>
        <v>2739179.07</v>
      </c>
      <c r="V46" s="72">
        <f t="shared" si="17"/>
        <v>-175317.27080213372</v>
      </c>
      <c r="W46" s="72">
        <f t="shared" si="17"/>
        <v>-2465791.7406015974</v>
      </c>
      <c r="X46" s="72">
        <f t="shared" si="17"/>
        <v>3285.6191978696734</v>
      </c>
      <c r="Y46" s="72">
        <f t="shared" si="17"/>
        <v>1687879.0699999998</v>
      </c>
      <c r="Z46" s="72">
        <f t="shared" si="17"/>
        <v>-3773826.9022994675</v>
      </c>
      <c r="AA46" s="72">
        <f t="shared" si="17"/>
        <v>3387676.1799999997</v>
      </c>
      <c r="AB46" s="72">
        <f t="shared" si="17"/>
        <v>2709776.1799999997</v>
      </c>
      <c r="AC46" s="72">
        <f t="shared" si="17"/>
        <v>2019401.1799999997</v>
      </c>
      <c r="AD46" s="72">
        <f t="shared" si="17"/>
        <v>4939876.18</v>
      </c>
      <c r="AE46" s="72">
        <f t="shared" si="17"/>
        <v>4570976.18</v>
      </c>
      <c r="AF46" s="72">
        <f t="shared" si="17"/>
        <v>-837368.8200000003</v>
      </c>
      <c r="AG46" s="72">
        <f t="shared" si="17"/>
        <v>4768356.18</v>
      </c>
      <c r="AH46" s="72">
        <f t="shared" si="17"/>
        <v>3978456.18</v>
      </c>
      <c r="AI46" s="72">
        <f t="shared" si="17"/>
        <v>-450118.8200000003</v>
      </c>
      <c r="AJ46" s="72">
        <f t="shared" si="17"/>
        <v>4768356.18</v>
      </c>
      <c r="AK46" s="72">
        <f t="shared" si="17"/>
        <v>3978456.18</v>
      </c>
      <c r="AL46" s="72">
        <f t="shared" si="17"/>
        <v>-6594118.8200000003</v>
      </c>
      <c r="AM46" s="72">
        <f t="shared" si="17"/>
        <v>4768356.18</v>
      </c>
      <c r="AN46" s="72">
        <f t="shared" si="17"/>
        <v>3978456.18</v>
      </c>
      <c r="AO46" s="72">
        <f t="shared" si="17"/>
        <v>1085881.1799999997</v>
      </c>
      <c r="AP46" s="72">
        <f t="shared" si="17"/>
        <v>4768356.18</v>
      </c>
      <c r="AQ46" s="72">
        <f t="shared" si="17"/>
        <v>4287456.18</v>
      </c>
    </row>
    <row r="47" spans="2:43" s="6" customFormat="1" x14ac:dyDescent="0.35">
      <c r="J47" s="9"/>
      <c r="K47" s="9"/>
      <c r="L47" s="9"/>
      <c r="M47" s="9"/>
      <c r="N47" s="9"/>
    </row>
    <row r="48" spans="2:43" x14ac:dyDescent="0.35">
      <c r="B48" s="6"/>
      <c r="D48" s="6"/>
      <c r="E48" s="9"/>
      <c r="F48" s="9"/>
      <c r="G48" s="9"/>
      <c r="H48" s="9"/>
      <c r="I48" s="9"/>
    </row>
    <row r="49" spans="1:7" x14ac:dyDescent="0.35">
      <c r="A49" s="6"/>
      <c r="D49" s="16"/>
      <c r="E49" s="4"/>
    </row>
    <row r="50" spans="1:7" x14ac:dyDescent="0.35">
      <c r="D50" s="16"/>
      <c r="E50" s="4"/>
    </row>
    <row r="51" spans="1:7" x14ac:dyDescent="0.35">
      <c r="D51" s="16"/>
      <c r="E51" s="4"/>
    </row>
    <row r="52" spans="1:7" x14ac:dyDescent="0.35">
      <c r="D52" s="16"/>
      <c r="E52" s="4"/>
      <c r="G52" s="5"/>
    </row>
    <row r="53" spans="1:7" x14ac:dyDescent="0.35">
      <c r="D53" s="16"/>
      <c r="E53" s="4"/>
    </row>
    <row r="54" spans="1:7" x14ac:dyDescent="0.35">
      <c r="D54" s="16"/>
      <c r="E54" s="4"/>
    </row>
    <row r="55" spans="1:7" x14ac:dyDescent="0.35">
      <c r="D55" s="16"/>
      <c r="E55" s="4"/>
    </row>
    <row r="56" spans="1:7" x14ac:dyDescent="0.35">
      <c r="D56" s="16"/>
      <c r="E56" s="4"/>
    </row>
    <row r="57" spans="1:7" x14ac:dyDescent="0.35">
      <c r="D57" s="16"/>
      <c r="E57" s="4"/>
    </row>
    <row r="58" spans="1:7" ht="16" x14ac:dyDescent="0.4">
      <c r="A58" s="18"/>
      <c r="D58" s="16"/>
      <c r="E58" s="4"/>
    </row>
    <row r="59" spans="1:7" x14ac:dyDescent="0.35">
      <c r="D59" s="16"/>
      <c r="E59" s="4"/>
    </row>
    <row r="60" spans="1:7" x14ac:dyDescent="0.35">
      <c r="D60" s="16"/>
      <c r="E60" s="4"/>
    </row>
    <row r="61" spans="1:7" x14ac:dyDescent="0.35">
      <c r="D61" s="16"/>
      <c r="E61" s="4"/>
    </row>
    <row r="62" spans="1:7" x14ac:dyDescent="0.35">
      <c r="D62" s="16"/>
      <c r="E62" s="4"/>
    </row>
    <row r="63" spans="1:7" x14ac:dyDescent="0.35">
      <c r="D63" s="16"/>
      <c r="E63" s="4"/>
    </row>
    <row r="64" spans="1:7" x14ac:dyDescent="0.35">
      <c r="D64" s="16"/>
      <c r="E64" s="4"/>
    </row>
    <row r="65" spans="4:9" x14ac:dyDescent="0.35">
      <c r="D65" s="16"/>
      <c r="E65" s="4"/>
    </row>
    <row r="66" spans="4:9" x14ac:dyDescent="0.35">
      <c r="D66" s="16"/>
      <c r="E66" s="4"/>
    </row>
    <row r="67" spans="4:9" x14ac:dyDescent="0.35">
      <c r="D67" s="16"/>
      <c r="E67" s="4"/>
    </row>
    <row r="68" spans="4:9" x14ac:dyDescent="0.35">
      <c r="D68" s="16"/>
      <c r="E68" s="4"/>
    </row>
    <row r="69" spans="4:9" x14ac:dyDescent="0.35">
      <c r="D69" s="8"/>
      <c r="E69" s="4"/>
    </row>
    <row r="70" spans="4:9" x14ac:dyDescent="0.35">
      <c r="D70" s="16"/>
      <c r="E70" s="4"/>
    </row>
    <row r="71" spans="4:9" x14ac:dyDescent="0.35">
      <c r="E71" s="4"/>
    </row>
    <row r="72" spans="4:9" x14ac:dyDescent="0.35">
      <c r="E72" s="4"/>
    </row>
    <row r="73" spans="4:9" x14ac:dyDescent="0.35">
      <c r="E73" s="4"/>
    </row>
    <row r="74" spans="4:9" x14ac:dyDescent="0.35">
      <c r="E74" s="4"/>
    </row>
    <row r="75" spans="4:9" x14ac:dyDescent="0.35">
      <c r="E75" s="4"/>
    </row>
    <row r="76" spans="4:9" x14ac:dyDescent="0.35">
      <c r="E76" s="4"/>
    </row>
    <row r="77" spans="4:9" x14ac:dyDescent="0.35">
      <c r="E77" s="4"/>
    </row>
    <row r="78" spans="4:9" x14ac:dyDescent="0.35">
      <c r="E78" s="4"/>
      <c r="I78" s="4"/>
    </row>
    <row r="79" spans="4:9" x14ac:dyDescent="0.35">
      <c r="E79" s="4"/>
      <c r="I79" s="4"/>
    </row>
    <row r="80" spans="4:9" x14ac:dyDescent="0.35">
      <c r="E80" s="4"/>
      <c r="I80" s="4"/>
    </row>
    <row r="81" spans="1:9" x14ac:dyDescent="0.35">
      <c r="E81" s="4"/>
      <c r="I81" s="5"/>
    </row>
    <row r="82" spans="1:9" x14ac:dyDescent="0.35">
      <c r="A82" s="6"/>
      <c r="E82" s="4"/>
    </row>
    <row r="83" spans="1:9" x14ac:dyDescent="0.35">
      <c r="E83" s="4"/>
    </row>
    <row r="84" spans="1:9" x14ac:dyDescent="0.35">
      <c r="E84" s="4"/>
    </row>
    <row r="85" spans="1:9" x14ac:dyDescent="0.35">
      <c r="A85" s="6"/>
      <c r="E85" s="4"/>
    </row>
    <row r="86" spans="1:9" x14ac:dyDescent="0.35">
      <c r="E86" s="4"/>
    </row>
    <row r="87" spans="1:9" x14ac:dyDescent="0.35">
      <c r="E87" s="4"/>
    </row>
    <row r="88" spans="1:9" x14ac:dyDescent="0.35">
      <c r="A88" s="6"/>
    </row>
    <row r="91" spans="1:9" x14ac:dyDescent="0.35">
      <c r="A91" s="6"/>
    </row>
  </sheetData>
  <pageMargins left="0.70866141732283472" right="0.70866141732283472" top="0.74803149606299213" bottom="0.74803149606299213" header="0.31496062992125984" footer="0.31496062992125984"/>
  <pageSetup paperSize="9" scale="64" fitToWidth="0" orientation="landscape" verticalDpi="0" r:id="rId1"/>
  <drawing r:id="rId2"/>
  <legacyDrawing r:id="rId3"/>
  <tableParts count="1"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EF52BCC72C5EF43944C72B21781D87C" ma:contentTypeVersion="5" ma:contentTypeDescription="Skapa ett nytt dokument." ma:contentTypeScope="" ma:versionID="14ac7b6b7402ac2d217ecf036757f866">
  <xsd:schema xmlns:xsd="http://www.w3.org/2001/XMLSchema" xmlns:xs="http://www.w3.org/2001/XMLSchema" xmlns:p="http://schemas.microsoft.com/office/2006/metadata/properties" xmlns:ns2="03edae5c-92a0-4a07-bd00-b6d8b3103e85" targetNamespace="http://schemas.microsoft.com/office/2006/metadata/properties" ma:root="true" ma:fieldsID="f9bfaa237c27be073753fa0efa67daef" ns2:_="">
    <xsd:import namespace="03edae5c-92a0-4a07-bd00-b6d8b3103e8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3edae5c-92a0-4a07-bd00-b6d8b3103e8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E3E0991-9171-4A3E-890F-E5567ED70D8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D9BE3E3-50BE-4E6B-ABB9-1F9B83FA3F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3edae5c-92a0-4a07-bd00-b6d8b3103e8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5F2505E-CD70-4E77-B64D-4CA712E7F30E}">
  <ds:schemaRefs>
    <ds:schemaRef ds:uri="http://schemas.microsoft.com/office/2006/documentManagement/types"/>
    <ds:schemaRef ds:uri="http://www.w3.org/XML/1998/namespace"/>
    <ds:schemaRef ds:uri="7e23e69b-39f4-45d1-938a-1fb5bad09889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d14aba49-3150-47c8-83e9-7024d09a6a01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CASHFLOW SEK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Elsa Ott</dc:creator>
  <cp:keywords/>
  <dc:description/>
  <cp:lastModifiedBy>Gabriella Toräng</cp:lastModifiedBy>
  <cp:revision/>
  <cp:lastPrinted>2025-04-07T09:53:35Z</cp:lastPrinted>
  <dcterms:created xsi:type="dcterms:W3CDTF">2024-09-16T09:01:17Z</dcterms:created>
  <dcterms:modified xsi:type="dcterms:W3CDTF">2025-04-11T07:13:21Z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0x0101004EF52BCC72C5EF43944C72B21781D87C</vt:lpwstr>
  </property>
  <property fmtid="{D5CDD505-2E9C-101B-9397-08002B2CF9AE}" pid="3" name="MediaServiceImageTags">
    <vt:lpwstr/>
  </property>
</Properties>
</file>