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6" Type="http://schemas.microsoft.com/office/2011/relationships/webextensiontaskpanes" Target="xl/webextensions/taskpanes.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mc:AlternateContent xmlns:mc="http://schemas.openxmlformats.org/markup-compatibility/2006">
    <mc:Choice Requires="x15">
      <x15ac:absPath xmlns:x15ac="http://schemas.microsoft.com/office/spreadsheetml/2010/11/ac" url="https://zerocarbonshipping.sharepoint.com/sites/Katalist_STAFF/Delte dokumenter/General/06. Registry development/04. Credit-name (Apr-Jun26)/02. Documentation update/06. DQ/"/>
    </mc:Choice>
  </mc:AlternateContent>
  <xr:revisionPtr revIDLastSave="81" documentId="13_ncr:1_{2403139A-7130-4E1C-B50B-D0A1A61D508D}" xr6:coauthVersionLast="47" xr6:coauthVersionMax="47" xr10:uidLastSave="{334F7371-71F8-40DF-B9CB-95BA0241CA7F}"/>
  <bookViews>
    <workbookView xWindow="-120" yWindow="-120" windowWidth="38640" windowHeight="21120" tabRatio="824" firstSheet="1" activeTab="1" xr2:uid="{00000000-000D-0000-FFFF-FFFF00000000}"/>
  </bookViews>
  <sheets>
    <sheet name="Data description" sheetId="36" r:id="rId1"/>
    <sheet name="DQ Template" sheetId="37" r:id="rId2"/>
    <sheet name="References" sheetId="20" state="hidden" r:id="rId3"/>
    <sheet name="Calculations" sheetId="28" state="hidden" r:id="rId4"/>
    <sheet name="Dashboard" sheetId="41" r:id="rId5"/>
  </sheets>
  <externalReferences>
    <externalReference r:id="rId6"/>
  </externalReferences>
  <definedNames>
    <definedName name="__Ampler.Charts.34f1c03d97b345f9a4353d08cf28e475" hidden="1">[1]RouteAssessment!#REF!</definedName>
    <definedName name="__Ampler.Charts.4eeae91c0b67498a8a436f0c0c38dece" hidden="1">[1]RouteAssessment!#REF!</definedName>
    <definedName name="__Ampler.Charts.5728b5bb58e949dfa3a26fa526f1025b" hidden="1">#REF!</definedName>
    <definedName name="__Ampler.Charts.75a81f14f29d46e0b4e39cf665ff6370" hidden="1">#REF!</definedName>
    <definedName name="__Ampler.Charts.ccf74908bffc4081a620e52ce9827f62" hidden="1">#REF!</definedName>
    <definedName name="_xlnm._FilterDatabase" localSheetId="0" hidden="1">'Data description'!$B$2:$F$40</definedName>
    <definedName name="DEFAULT">References!$J$21</definedName>
    <definedName name="Lifetime">#REF!</definedName>
    <definedName name="MILLION">References!$H$22</definedName>
    <definedName name="NOT_APPLICABLE">References!$J$22</definedName>
    <definedName name="ROUND_OFF">References!$N$21</definedName>
    <definedName name="TON_TO_GRAM">References!$H$21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6" i="37" l="1" a="1"/>
  <c r="K66" i="37" s="1"/>
  <c r="J34" i="37"/>
  <c r="J66" i="37"/>
  <c r="I66" i="37"/>
  <c r="E18" i="28"/>
  <c r="E17" i="28"/>
  <c r="J69" i="41" l="1"/>
  <c r="I39" i="41"/>
  <c r="G39" i="41"/>
  <c r="F39" i="41"/>
  <c r="I35" i="37"/>
  <c r="I34" i="37"/>
  <c r="I33" i="37"/>
  <c r="I32" i="37"/>
  <c r="H34" i="37"/>
  <c r="H33" i="37"/>
  <c r="H32" i="37"/>
  <c r="H35" i="37"/>
  <c r="G35" i="37"/>
  <c r="G34" i="37"/>
  <c r="M35" i="37" a="1"/>
  <c r="M34" i="37" a="1"/>
  <c r="M33" i="37" a="1"/>
  <c r="M32" i="37" a="1"/>
  <c r="L35" i="37" a="1"/>
  <c r="L34" i="37" a="1"/>
  <c r="L33" i="37" a="1"/>
  <c r="L32" i="37" a="1"/>
  <c r="L32" i="37"/>
  <c r="K35" i="37" a="1"/>
  <c r="K35" i="37"/>
  <c r="K34" i="37" a="1"/>
  <c r="K33" i="37" a="1"/>
  <c r="K32" i="37" a="1"/>
  <c r="E114" i="41"/>
  <c r="E109" i="41"/>
  <c r="E126" i="41"/>
  <c r="E103" i="41"/>
  <c r="E128" i="41"/>
  <c r="F63" i="41"/>
  <c r="T8" i="28"/>
  <c r="Z7" i="28"/>
  <c r="Z9" i="28"/>
  <c r="Z6" i="28"/>
  <c r="Y6" i="28"/>
  <c r="E88" i="41"/>
  <c r="E87" i="41"/>
  <c r="E86" i="41"/>
  <c r="E42" i="41"/>
  <c r="E41" i="41"/>
  <c r="E40" i="41"/>
  <c r="I35" i="41"/>
  <c r="H35" i="41"/>
  <c r="G35" i="41"/>
  <c r="F35" i="41"/>
  <c r="B34" i="37"/>
  <c r="K80" i="37" a="1"/>
  <c r="K80" i="37" s="1"/>
  <c r="K81" i="37" a="1"/>
  <c r="K81" i="37" s="1"/>
  <c r="K82" i="37" a="1"/>
  <c r="K82" i="37" s="1"/>
  <c r="K83" i="37" a="1"/>
  <c r="K83" i="37" s="1"/>
  <c r="K84" i="37" a="1"/>
  <c r="K84" i="37" s="1"/>
  <c r="K85" i="37" a="1"/>
  <c r="K85" i="37" s="1"/>
  <c r="K86" i="37" a="1"/>
  <c r="K86" i="37" s="1"/>
  <c r="K87" i="37" a="1"/>
  <c r="K87" i="37" s="1"/>
  <c r="K88" i="37" a="1"/>
  <c r="K88" i="37" s="1"/>
  <c r="K89" i="37" a="1"/>
  <c r="K89" i="37" s="1"/>
  <c r="K79" i="37" a="1"/>
  <c r="K79" i="37" s="1"/>
  <c r="K54" i="37" a="1"/>
  <c r="K54" i="37" s="1"/>
  <c r="K55" i="37" a="1"/>
  <c r="K55" i="37" s="1"/>
  <c r="K56" i="37" a="1"/>
  <c r="K56" i="37" s="1"/>
  <c r="K57" i="37" a="1"/>
  <c r="K57" i="37" s="1"/>
  <c r="K58" i="37" a="1"/>
  <c r="K58" i="37" s="1"/>
  <c r="K59" i="37" a="1"/>
  <c r="K59" i="37" s="1"/>
  <c r="K60" i="37" a="1"/>
  <c r="K60" i="37" s="1"/>
  <c r="K61" i="37" a="1"/>
  <c r="K61" i="37" s="1"/>
  <c r="K62" i="37" a="1"/>
  <c r="K62" i="37" s="1"/>
  <c r="K63" i="37" a="1"/>
  <c r="K63" i="37" s="1"/>
  <c r="K53" i="37" a="1"/>
  <c r="K53" i="37" s="1"/>
  <c r="K41" i="37" a="1"/>
  <c r="K41" i="37" s="1"/>
  <c r="K42" i="37" a="1"/>
  <c r="K42" i="37" s="1"/>
  <c r="K43" i="37" a="1"/>
  <c r="K43" i="37" s="1"/>
  <c r="K44" i="37" a="1"/>
  <c r="K44" i="37" s="1"/>
  <c r="K45" i="37" a="1"/>
  <c r="K45" i="37" s="1"/>
  <c r="K46" i="37" a="1"/>
  <c r="K46" i="37" s="1"/>
  <c r="K47" i="37" a="1"/>
  <c r="K47" i="37" s="1"/>
  <c r="K48" i="37" a="1"/>
  <c r="K48" i="37" s="1"/>
  <c r="K49" i="37" a="1"/>
  <c r="K49" i="37" s="1"/>
  <c r="K50" i="37" a="1"/>
  <c r="K50" i="37" s="1"/>
  <c r="K40" i="37" a="1"/>
  <c r="K40" i="37" s="1"/>
  <c r="K67" i="37" a="1"/>
  <c r="K67" i="37" s="1"/>
  <c r="K68" i="37" a="1"/>
  <c r="K68" i="37" s="1"/>
  <c r="K69" i="37" a="1"/>
  <c r="K69" i="37" s="1"/>
  <c r="K70" i="37" a="1"/>
  <c r="K70" i="37" s="1"/>
  <c r="K71" i="37" a="1"/>
  <c r="K71" i="37" s="1"/>
  <c r="K72" i="37" a="1"/>
  <c r="K72" i="37" s="1"/>
  <c r="K73" i="37" a="1"/>
  <c r="K73" i="37" s="1"/>
  <c r="K74" i="37" a="1"/>
  <c r="K74" i="37" s="1"/>
  <c r="K75" i="37" a="1"/>
  <c r="K75" i="37" s="1"/>
  <c r="K76" i="37" a="1"/>
  <c r="K76" i="37" s="1"/>
  <c r="E4" i="41"/>
  <c r="V8" i="28" l="1"/>
  <c r="M35" i="37"/>
  <c r="M34" i="37"/>
  <c r="M33" i="37"/>
  <c r="M32" i="37"/>
  <c r="L35" i="37"/>
  <c r="L34" i="37"/>
  <c r="L33" i="37"/>
  <c r="K34" i="37"/>
  <c r="K33" i="37"/>
  <c r="K32" i="37"/>
  <c r="E127" i="41"/>
  <c r="F68" i="41"/>
  <c r="F95" i="41"/>
  <c r="F45" i="41" l="1"/>
  <c r="I7" i="41"/>
  <c r="I25" i="41"/>
  <c r="I51" i="41"/>
  <c r="H7" i="41"/>
  <c r="H25" i="41"/>
  <c r="H51" i="41"/>
  <c r="G7" i="41"/>
  <c r="G25" i="41"/>
  <c r="G51" i="41"/>
  <c r="F25" i="41"/>
  <c r="F7" i="41"/>
  <c r="F51" i="41"/>
  <c r="B94" i="28" l="1"/>
  <c r="B93" i="28"/>
  <c r="B92" i="28"/>
  <c r="B91" i="28"/>
  <c r="I63" i="41" l="1"/>
  <c r="I68" i="41" s="1"/>
  <c r="H63" i="41"/>
  <c r="H68" i="41" s="1"/>
  <c r="G63" i="41"/>
  <c r="G68" i="41" s="1"/>
  <c r="E32" i="41"/>
  <c r="E31" i="41"/>
  <c r="E30" i="41"/>
  <c r="I52" i="41" l="1"/>
  <c r="H52" i="41"/>
  <c r="G52" i="41"/>
  <c r="F52" i="41"/>
  <c r="F96" i="41" l="1"/>
  <c r="F46" i="41" l="1"/>
  <c r="E77" i="41"/>
  <c r="E79" i="41"/>
  <c r="E78" i="41"/>
  <c r="N9" i="28" l="1"/>
  <c r="F9" i="28"/>
  <c r="N8" i="28"/>
  <c r="F8" i="28"/>
  <c r="N7" i="28"/>
  <c r="F7" i="28"/>
  <c r="N6" i="28"/>
  <c r="R6" i="28" s="1"/>
  <c r="F6" i="28"/>
  <c r="C8" i="28"/>
  <c r="Z8" i="28" l="1"/>
  <c r="Y8" i="28"/>
  <c r="C41" i="28" a="1"/>
  <c r="C46" i="28" a="1"/>
  <c r="C44" i="28" a="1"/>
  <c r="C46" i="28" l="1"/>
  <c r="H92" i="41" s="1"/>
  <c r="C44" i="28"/>
  <c r="C41" i="28"/>
  <c r="G42" i="28"/>
  <c r="S42" i="28"/>
  <c r="H42" i="28"/>
  <c r="T42" i="28"/>
  <c r="I42" i="28"/>
  <c r="U42" i="28"/>
  <c r="V42" i="28"/>
  <c r="L42" i="28"/>
  <c r="M42" i="28"/>
  <c r="N42" i="28"/>
  <c r="O42" i="28"/>
  <c r="D42" i="28"/>
  <c r="P42" i="28"/>
  <c r="Q42" i="28"/>
  <c r="F42" i="28"/>
  <c r="R42" i="28"/>
  <c r="H14" i="41" l="1"/>
  <c r="H91" i="41"/>
  <c r="C42" i="28"/>
  <c r="H13" i="41" l="1"/>
  <c r="B32" i="37"/>
  <c r="J32" i="37" l="1"/>
  <c r="V6" i="28"/>
  <c r="G32" i="37"/>
  <c r="U6" i="28" s="1"/>
  <c r="AF6" i="37"/>
  <c r="AE6" i="37"/>
  <c r="AD6" i="37"/>
  <c r="AC6" i="37"/>
  <c r="AB6" i="37"/>
  <c r="AA6" i="37"/>
  <c r="Z6" i="37"/>
  <c r="Y6" i="37"/>
  <c r="I67" i="37"/>
  <c r="J40" i="37"/>
  <c r="I40" i="37"/>
  <c r="I41" i="37"/>
  <c r="J41" i="37"/>
  <c r="D8" i="28" l="1"/>
  <c r="C7" i="28"/>
  <c r="C37" i="28" s="1" a="1"/>
  <c r="C37" i="28" s="1"/>
  <c r="D18" i="28" s="1"/>
  <c r="G92" i="41" s="1"/>
  <c r="C9" i="28"/>
  <c r="C6" i="28"/>
  <c r="D6" i="28" s="1"/>
  <c r="G14" i="41" l="1"/>
  <c r="C28" i="28" a="1"/>
  <c r="C28" i="28" s="1"/>
  <c r="C18" i="28" s="1"/>
  <c r="F92" i="41" s="1"/>
  <c r="C26" i="28" a="1"/>
  <c r="C26" i="28" s="1"/>
  <c r="C23" i="28" a="1"/>
  <c r="C55" i="28" a="1"/>
  <c r="C55" i="28" s="1"/>
  <c r="F18" i="28" s="1"/>
  <c r="I92" i="41" s="1"/>
  <c r="C53" i="28" a="1"/>
  <c r="C53" i="28" s="1"/>
  <c r="C50" i="28" a="1"/>
  <c r="C35" i="28" a="1"/>
  <c r="C35" i="28" s="1"/>
  <c r="D17" i="28" s="1"/>
  <c r="G91" i="41" s="1"/>
  <c r="C32" i="28" a="1"/>
  <c r="D9" i="28"/>
  <c r="D7" i="28"/>
  <c r="F6" i="37"/>
  <c r="B35" i="37"/>
  <c r="B33" i="37"/>
  <c r="C119" i="28"/>
  <c r="D119" i="28"/>
  <c r="E119" i="28"/>
  <c r="F119" i="28"/>
  <c r="C120" i="28"/>
  <c r="D120" i="28"/>
  <c r="E120" i="28"/>
  <c r="F120" i="28"/>
  <c r="C121" i="28"/>
  <c r="D121" i="28"/>
  <c r="E121" i="28"/>
  <c r="F121" i="28"/>
  <c r="C122" i="28"/>
  <c r="D122" i="28"/>
  <c r="E122" i="28"/>
  <c r="F122" i="28"/>
  <c r="C123" i="28"/>
  <c r="D123" i="28"/>
  <c r="E123" i="28"/>
  <c r="F123" i="28"/>
  <c r="C124" i="28"/>
  <c r="D124" i="28"/>
  <c r="E124" i="28"/>
  <c r="F124" i="28"/>
  <c r="C125" i="28"/>
  <c r="D125" i="28"/>
  <c r="E125" i="28"/>
  <c r="F125" i="28"/>
  <c r="C126" i="28"/>
  <c r="D126" i="28"/>
  <c r="E126" i="28"/>
  <c r="F126" i="28"/>
  <c r="C127" i="28"/>
  <c r="D127" i="28"/>
  <c r="E127" i="28"/>
  <c r="F127" i="28"/>
  <c r="C128" i="28"/>
  <c r="D128" i="28"/>
  <c r="E128" i="28"/>
  <c r="F128" i="28"/>
  <c r="C129" i="28"/>
  <c r="D129" i="28"/>
  <c r="E129" i="28"/>
  <c r="F129" i="28"/>
  <c r="C130" i="28"/>
  <c r="D130" i="28"/>
  <c r="E130" i="28"/>
  <c r="F130" i="28"/>
  <c r="C131" i="28"/>
  <c r="D131" i="28"/>
  <c r="E131" i="28"/>
  <c r="F131" i="28"/>
  <c r="C132" i="28"/>
  <c r="D132" i="28"/>
  <c r="E132" i="28"/>
  <c r="F132" i="28"/>
  <c r="C133" i="28"/>
  <c r="D133" i="28"/>
  <c r="E133" i="28"/>
  <c r="F133" i="28"/>
  <c r="C134" i="28"/>
  <c r="D134" i="28"/>
  <c r="E134" i="28"/>
  <c r="F134" i="28"/>
  <c r="C135" i="28"/>
  <c r="D135" i="28"/>
  <c r="E135" i="28"/>
  <c r="F135" i="28"/>
  <c r="C136" i="28"/>
  <c r="D136" i="28"/>
  <c r="E136" i="28"/>
  <c r="F136" i="28"/>
  <c r="C137" i="28"/>
  <c r="D137" i="28"/>
  <c r="E137" i="28"/>
  <c r="F137" i="28"/>
  <c r="C138" i="28"/>
  <c r="D138" i="28"/>
  <c r="E138" i="28"/>
  <c r="F138" i="28"/>
  <c r="C145" i="28"/>
  <c r="D145" i="28"/>
  <c r="C146" i="28"/>
  <c r="D146" i="28"/>
  <c r="C147" i="28"/>
  <c r="D147" i="28"/>
  <c r="C148" i="28"/>
  <c r="D148" i="28"/>
  <c r="C149" i="28"/>
  <c r="D149" i="28"/>
  <c r="C150" i="28"/>
  <c r="D150" i="28"/>
  <c r="C151" i="28"/>
  <c r="D151" i="28"/>
  <c r="C152" i="28"/>
  <c r="D152" i="28"/>
  <c r="C153" i="28"/>
  <c r="D153" i="28"/>
  <c r="C154" i="28"/>
  <c r="D154" i="28"/>
  <c r="C155" i="28"/>
  <c r="D155" i="28"/>
  <c r="C156" i="28"/>
  <c r="D156" i="28"/>
  <c r="C157" i="28"/>
  <c r="D157" i="28"/>
  <c r="C158" i="28"/>
  <c r="D158" i="28"/>
  <c r="C159" i="28"/>
  <c r="D159" i="28"/>
  <c r="C160" i="28"/>
  <c r="D160" i="28"/>
  <c r="C161" i="28"/>
  <c r="D161" i="28"/>
  <c r="C162" i="28"/>
  <c r="D162" i="28"/>
  <c r="C163" i="28"/>
  <c r="D163" i="28"/>
  <c r="C164" i="28"/>
  <c r="D164" i="28"/>
  <c r="D168" i="28" a="1"/>
  <c r="C168" i="28" a="1"/>
  <c r="J35" i="37" l="1"/>
  <c r="V9" i="28"/>
  <c r="G33" i="37"/>
  <c r="J33" i="37"/>
  <c r="V7" i="28"/>
  <c r="F14" i="41"/>
  <c r="I14" i="41"/>
  <c r="G13" i="41"/>
  <c r="C32" i="28"/>
  <c r="C33" i="28" s="1"/>
  <c r="V33" i="28"/>
  <c r="U33" i="28"/>
  <c r="T33" i="28"/>
  <c r="S33" i="28"/>
  <c r="R33" i="28"/>
  <c r="Q33" i="28"/>
  <c r="P33" i="28"/>
  <c r="O33" i="28"/>
  <c r="N33" i="28"/>
  <c r="M33" i="28"/>
  <c r="L33" i="28"/>
  <c r="K33" i="28"/>
  <c r="J33" i="28"/>
  <c r="I33" i="28"/>
  <c r="H33" i="28"/>
  <c r="G33" i="28"/>
  <c r="F33" i="28"/>
  <c r="D33" i="28"/>
  <c r="E33" i="28"/>
  <c r="C23" i="28"/>
  <c r="D24" i="28"/>
  <c r="E24" i="28"/>
  <c r="F24" i="28"/>
  <c r="G24" i="28"/>
  <c r="H24" i="28"/>
  <c r="I24" i="28"/>
  <c r="J24" i="28"/>
  <c r="K24" i="28"/>
  <c r="L24" i="28"/>
  <c r="M24" i="28"/>
  <c r="N24" i="28"/>
  <c r="O24" i="28"/>
  <c r="P24" i="28"/>
  <c r="Q24" i="28"/>
  <c r="R24" i="28"/>
  <c r="S24" i="28"/>
  <c r="T24" i="28"/>
  <c r="U24" i="28"/>
  <c r="V24" i="28"/>
  <c r="C50" i="28"/>
  <c r="C51" i="28" s="1"/>
  <c r="E51" i="28"/>
  <c r="Q51" i="28"/>
  <c r="R51" i="28"/>
  <c r="S51" i="28"/>
  <c r="T51" i="28"/>
  <c r="I51" i="28"/>
  <c r="J51" i="28"/>
  <c r="L51" i="28"/>
  <c r="F51" i="28"/>
  <c r="H51" i="28"/>
  <c r="U51" i="28"/>
  <c r="V51" i="28"/>
  <c r="M51" i="28"/>
  <c r="P51" i="28"/>
  <c r="G51" i="28"/>
  <c r="O51" i="28"/>
  <c r="K51" i="28"/>
  <c r="N51" i="28"/>
  <c r="J92" i="41"/>
  <c r="C17" i="28"/>
  <c r="F91" i="41" s="1"/>
  <c r="F17" i="28"/>
  <c r="I91" i="41" s="1"/>
  <c r="C24" i="28"/>
  <c r="C104" i="28"/>
  <c r="C168" i="28"/>
  <c r="D168" i="28"/>
  <c r="H168" i="28"/>
  <c r="C169" i="28" a="1"/>
  <c r="F13" i="41" l="1"/>
  <c r="I13" i="41"/>
  <c r="J91" i="41"/>
  <c r="C169" i="28"/>
  <c r="D169" i="28" a="1"/>
  <c r="D169" i="28" l="1"/>
  <c r="H169" i="28"/>
  <c r="K169" i="28"/>
  <c r="C170" i="28" a="1"/>
  <c r="C170" i="28" l="1"/>
  <c r="D170" i="28" a="1"/>
  <c r="D170" i="28" l="1"/>
  <c r="H170" i="28"/>
  <c r="K170" i="28"/>
  <c r="C171" i="28" a="1"/>
  <c r="C171" i="28" l="1"/>
  <c r="H171" i="28"/>
  <c r="K171" i="28"/>
  <c r="D171" i="28" a="1"/>
  <c r="C172" i="28" a="1"/>
  <c r="D171" i="28" l="1"/>
  <c r="C172" i="28"/>
  <c r="H172" i="28"/>
  <c r="K172" i="28"/>
  <c r="H173" i="28"/>
  <c r="K173" i="28"/>
  <c r="H174" i="28"/>
  <c r="K174" i="28"/>
  <c r="H175" i="28"/>
  <c r="K175" i="28"/>
  <c r="H176" i="28"/>
  <c r="K176" i="28"/>
  <c r="H177" i="28"/>
  <c r="K177" i="28"/>
  <c r="H178" i="28"/>
  <c r="K178" i="28"/>
  <c r="H179" i="28"/>
  <c r="K179" i="28"/>
  <c r="H180" i="28"/>
  <c r="K180" i="28"/>
  <c r="H181" i="28"/>
  <c r="K181" i="28"/>
  <c r="H182" i="28"/>
  <c r="K182" i="28"/>
  <c r="H183" i="28"/>
  <c r="K183" i="28"/>
  <c r="H184" i="28"/>
  <c r="K184" i="28"/>
  <c r="H185" i="28"/>
  <c r="K185" i="28"/>
  <c r="H186" i="28"/>
  <c r="K186" i="28"/>
  <c r="H187" i="28"/>
  <c r="K187" i="28"/>
  <c r="C194" i="28"/>
  <c r="C195" i="28"/>
  <c r="D195" i="28" s="1"/>
  <c r="C196" i="28"/>
  <c r="D196" i="28" s="1"/>
  <c r="C197" i="28"/>
  <c r="D197" i="28" s="1"/>
  <c r="C198" i="28"/>
  <c r="D198" i="28" s="1"/>
  <c r="C199" i="28"/>
  <c r="D199" i="28" s="1"/>
  <c r="C200" i="28"/>
  <c r="D200" i="28" s="1"/>
  <c r="C201" i="28"/>
  <c r="D201" i="28" s="1"/>
  <c r="C202" i="28"/>
  <c r="D202" i="28" s="1"/>
  <c r="C203" i="28"/>
  <c r="D203" i="28" s="1"/>
  <c r="C204" i="28"/>
  <c r="D204" i="28" s="1"/>
  <c r="C205" i="28"/>
  <c r="D205" i="28" s="1"/>
  <c r="C206" i="28"/>
  <c r="D206" i="28" s="1"/>
  <c r="C207" i="28"/>
  <c r="D207" i="28" s="1"/>
  <c r="C208" i="28"/>
  <c r="D208" i="28" s="1"/>
  <c r="C209" i="28"/>
  <c r="D209" i="28" s="1"/>
  <c r="C210" i="28"/>
  <c r="D210" i="28" s="1"/>
  <c r="C211" i="28"/>
  <c r="D211" i="28" s="1"/>
  <c r="C212" i="28"/>
  <c r="D212" i="28" s="1"/>
  <c r="C213" i="28"/>
  <c r="D213" i="28" s="1"/>
  <c r="C220" i="28"/>
  <c r="D220" i="28"/>
  <c r="C221" i="28"/>
  <c r="D221" i="28"/>
  <c r="C222" i="28"/>
  <c r="D222" i="28"/>
  <c r="C223" i="28"/>
  <c r="D223" i="28"/>
  <c r="C224" i="28"/>
  <c r="C247" i="28" s="1"/>
  <c r="D224" i="28"/>
  <c r="C225" i="28"/>
  <c r="D225" i="28"/>
  <c r="C226" i="28"/>
  <c r="D226" i="28"/>
  <c r="C227" i="28"/>
  <c r="C250" i="28" s="1"/>
  <c r="D227" i="28"/>
  <c r="C228" i="28"/>
  <c r="C251" i="28" s="1"/>
  <c r="D228" i="28"/>
  <c r="C229" i="28"/>
  <c r="C252" i="28" s="1"/>
  <c r="D229" i="28"/>
  <c r="C230" i="28"/>
  <c r="C253" i="28" s="1"/>
  <c r="D230" i="28"/>
  <c r="C231" i="28"/>
  <c r="C254" i="28" s="1"/>
  <c r="D231" i="28"/>
  <c r="C232" i="28"/>
  <c r="C255" i="28" s="1"/>
  <c r="D232" i="28"/>
  <c r="C233" i="28"/>
  <c r="C256" i="28" s="1"/>
  <c r="D233" i="28"/>
  <c r="C234" i="28"/>
  <c r="C257" i="28" s="1"/>
  <c r="D234" i="28"/>
  <c r="C235" i="28"/>
  <c r="C258" i="28" s="1"/>
  <c r="D235" i="28"/>
  <c r="C236" i="28"/>
  <c r="C259" i="28" s="1"/>
  <c r="D236" i="28"/>
  <c r="C237" i="28"/>
  <c r="C260" i="28" s="1"/>
  <c r="D237" i="28"/>
  <c r="C238" i="28"/>
  <c r="C261" i="28" s="1"/>
  <c r="D238" i="28"/>
  <c r="C239" i="28"/>
  <c r="C262" i="28" s="1"/>
  <c r="D239" i="28"/>
  <c r="C66" i="28"/>
  <c r="D66" i="28"/>
  <c r="C67" i="28"/>
  <c r="D67" i="28"/>
  <c r="C68" i="28"/>
  <c r="D68" i="28"/>
  <c r="C69" i="28"/>
  <c r="D69" i="28"/>
  <c r="C70" i="28"/>
  <c r="D70" i="28"/>
  <c r="C71" i="28"/>
  <c r="D71" i="28"/>
  <c r="C72" i="28"/>
  <c r="D72" i="28"/>
  <c r="C73" i="28"/>
  <c r="D73" i="28"/>
  <c r="C74" i="28"/>
  <c r="D74" i="28"/>
  <c r="C75" i="28"/>
  <c r="D75" i="28"/>
  <c r="C76" i="28"/>
  <c r="D76" i="28"/>
  <c r="C77" i="28"/>
  <c r="D77" i="28"/>
  <c r="C78" i="28"/>
  <c r="D78" i="28"/>
  <c r="C79" i="28"/>
  <c r="D79" i="28"/>
  <c r="C80" i="28"/>
  <c r="D80" i="28"/>
  <c r="C81" i="28"/>
  <c r="D81" i="28"/>
  <c r="C82" i="28"/>
  <c r="D82" i="28"/>
  <c r="C83" i="28"/>
  <c r="D83" i="28"/>
  <c r="C84" i="28"/>
  <c r="D84" i="28"/>
  <c r="C85" i="28"/>
  <c r="D85" i="28"/>
  <c r="E30" i="20"/>
  <c r="E28" i="20"/>
  <c r="E27" i="20"/>
  <c r="E26" i="20"/>
  <c r="E25" i="20"/>
  <c r="E24" i="20"/>
  <c r="E23" i="20"/>
  <c r="E22" i="20"/>
  <c r="E21" i="20"/>
  <c r="D182" i="28" a="1"/>
  <c r="D176" i="28" a="1"/>
  <c r="C184" i="28" a="1"/>
  <c r="D178" i="28" a="1"/>
  <c r="D184" i="28" a="1"/>
  <c r="D186" i="28" a="1"/>
  <c r="D183" i="28" a="1"/>
  <c r="C180" i="28" a="1"/>
  <c r="C176" i="28" a="1"/>
  <c r="D177" i="28" a="1"/>
  <c r="D179" i="28" a="1"/>
  <c r="D173" i="28" a="1"/>
  <c r="C181" i="28" a="1"/>
  <c r="D172" i="28" a="1"/>
  <c r="C187" i="28" a="1"/>
  <c r="C185" i="28" a="1"/>
  <c r="C177" i="28" a="1"/>
  <c r="D181" i="28" a="1"/>
  <c r="C175" i="28" a="1"/>
  <c r="D174" i="28" a="1"/>
  <c r="C182" i="28" a="1"/>
  <c r="D175" i="28" a="1"/>
  <c r="C179" i="28" a="1"/>
  <c r="D187" i="28" a="1"/>
  <c r="D185" i="28" a="1"/>
  <c r="C186" i="28" a="1"/>
  <c r="D180" i="28" a="1"/>
  <c r="C183" i="28" a="1"/>
  <c r="C173" i="28" a="1"/>
  <c r="C174" i="28" a="1"/>
  <c r="C178" i="28" a="1"/>
  <c r="C249" i="28" l="1"/>
  <c r="D86" i="28"/>
  <c r="C86" i="28"/>
  <c r="C248" i="28"/>
  <c r="C110" i="28"/>
  <c r="C244" i="28"/>
  <c r="G104" i="28"/>
  <c r="E104" i="28"/>
  <c r="C245" i="28"/>
  <c r="D194" i="28"/>
  <c r="E110" i="28" s="1"/>
  <c r="C246" i="28"/>
  <c r="E67" i="28"/>
  <c r="E81" i="28"/>
  <c r="E75" i="28"/>
  <c r="E80" i="28"/>
  <c r="E74" i="28"/>
  <c r="E84" i="28"/>
  <c r="E79" i="28"/>
  <c r="E73" i="28"/>
  <c r="E76" i="28"/>
  <c r="E78" i="28"/>
  <c r="E83" i="28"/>
  <c r="E70" i="28"/>
  <c r="E85" i="28"/>
  <c r="E72" i="28"/>
  <c r="E68" i="28"/>
  <c r="E69" i="28"/>
  <c r="E66" i="28"/>
  <c r="E82" i="28"/>
  <c r="E71" i="28"/>
  <c r="E77" i="28"/>
  <c r="D174" i="28"/>
  <c r="C177" i="28"/>
  <c r="D179" i="28"/>
  <c r="C174" i="28"/>
  <c r="D176" i="28"/>
  <c r="C179" i="28"/>
  <c r="D182" i="28"/>
  <c r="C176" i="28"/>
  <c r="D173" i="28"/>
  <c r="C184" i="28"/>
  <c r="C173" i="28"/>
  <c r="D186" i="28"/>
  <c r="D187" i="28"/>
  <c r="D175" i="28"/>
  <c r="C182" i="28"/>
  <c r="C178" i="28"/>
  <c r="C187" i="28"/>
  <c r="D178" i="28"/>
  <c r="C183" i="28"/>
  <c r="D180" i="28"/>
  <c r="C175" i="28"/>
  <c r="D172" i="28"/>
  <c r="D184" i="28"/>
  <c r="D183" i="28"/>
  <c r="C185" i="28"/>
  <c r="D181" i="28"/>
  <c r="C181" i="28"/>
  <c r="C186" i="28"/>
  <c r="D185" i="28"/>
  <c r="C180" i="28"/>
  <c r="D177" i="28"/>
  <c r="C113" i="28" l="1"/>
  <c r="E107" i="28"/>
  <c r="C107" i="28"/>
  <c r="E86" i="28"/>
  <c r="J84" i="37"/>
  <c r="J89" i="37"/>
  <c r="I89" i="37"/>
  <c r="J88" i="37"/>
  <c r="I88" i="37"/>
  <c r="J87" i="37"/>
  <c r="I87" i="37"/>
  <c r="J86" i="37"/>
  <c r="I86" i="37"/>
  <c r="J85" i="37"/>
  <c r="I85" i="37"/>
  <c r="I84" i="37"/>
  <c r="J83" i="37"/>
  <c r="I83" i="37"/>
  <c r="J82" i="37"/>
  <c r="I82" i="37"/>
  <c r="J81" i="37"/>
  <c r="I81" i="37"/>
  <c r="J80" i="37"/>
  <c r="I80" i="37"/>
  <c r="J79" i="37"/>
  <c r="I79" i="37"/>
  <c r="J76" i="37"/>
  <c r="I76" i="37"/>
  <c r="J75" i="37"/>
  <c r="I75" i="37"/>
  <c r="J74" i="37"/>
  <c r="I74" i="37"/>
  <c r="J73" i="37"/>
  <c r="I73" i="37"/>
  <c r="J72" i="37"/>
  <c r="I72" i="37"/>
  <c r="J71" i="37"/>
  <c r="I71" i="37"/>
  <c r="J70" i="37"/>
  <c r="I70" i="37"/>
  <c r="J69" i="37"/>
  <c r="I69" i="37"/>
  <c r="J68" i="37"/>
  <c r="I68" i="37"/>
  <c r="J67" i="37"/>
  <c r="I58" i="37"/>
  <c r="J63" i="37"/>
  <c r="I63" i="37"/>
  <c r="J62" i="37"/>
  <c r="I62" i="37"/>
  <c r="J61" i="37"/>
  <c r="I61" i="37"/>
  <c r="J60" i="37"/>
  <c r="I60" i="37"/>
  <c r="J59" i="37"/>
  <c r="I59" i="37"/>
  <c r="J58" i="37"/>
  <c r="J57" i="37"/>
  <c r="I57" i="37"/>
  <c r="J56" i="37"/>
  <c r="I56" i="37"/>
  <c r="J55" i="37"/>
  <c r="I55" i="37"/>
  <c r="J54" i="37"/>
  <c r="I54" i="37"/>
  <c r="J53" i="37"/>
  <c r="I53" i="37"/>
  <c r="J50" i="37"/>
  <c r="I50" i="37"/>
  <c r="J49" i="37"/>
  <c r="I49" i="37"/>
  <c r="J48" i="37"/>
  <c r="I48" i="37"/>
  <c r="J47" i="37"/>
  <c r="I47" i="37"/>
  <c r="J46" i="37"/>
  <c r="I46" i="37"/>
  <c r="J45" i="37"/>
  <c r="I45" i="37"/>
  <c r="J44" i="37"/>
  <c r="I44" i="37"/>
  <c r="J43" i="37"/>
  <c r="I43" i="37"/>
  <c r="J42" i="37"/>
  <c r="I42" i="37"/>
  <c r="Q7" i="28" l="1"/>
  <c r="S7" i="28"/>
  <c r="Y7" i="28"/>
  <c r="AA7" i="28"/>
  <c r="R7" i="28"/>
  <c r="S6" i="28"/>
  <c r="Q6" i="28"/>
  <c r="AA6" i="28"/>
  <c r="P6" i="28"/>
  <c r="P7" i="28"/>
  <c r="P8" i="28"/>
  <c r="X8" i="28" s="1"/>
  <c r="P9" i="28"/>
  <c r="O9" i="28"/>
  <c r="Q9" i="28" s="1"/>
  <c r="O6" i="28"/>
  <c r="O7" i="28"/>
  <c r="O8" i="28"/>
  <c r="Q8" i="28" s="1"/>
  <c r="S9" i="28" l="1"/>
  <c r="R9" i="28"/>
  <c r="S8" i="28"/>
  <c r="R8" i="28"/>
  <c r="T7" i="28" l="1"/>
  <c r="X7" i="28" s="1"/>
  <c r="U7" i="28"/>
  <c r="W7" i="28"/>
  <c r="W8" i="28"/>
  <c r="U8" i="28"/>
  <c r="W6" i="28"/>
  <c r="T6" i="28"/>
  <c r="X6" i="28" s="1"/>
  <c r="U9" i="28"/>
  <c r="W9" i="28"/>
  <c r="T9" i="28"/>
  <c r="X9" i="28" s="1"/>
  <c r="AA9" i="28" l="1"/>
  <c r="Y9" i="28"/>
  <c r="B9" i="37"/>
  <c r="B10" i="37" s="1"/>
  <c r="B11" i="37" s="1"/>
  <c r="B12" i="37" s="1"/>
  <c r="B13" i="37" s="1"/>
  <c r="B14" i="37" s="1"/>
  <c r="B15" i="37" s="1"/>
  <c r="B16" i="37" s="1"/>
  <c r="B17" i="37" s="1"/>
  <c r="B18" i="37" s="1"/>
  <c r="B19" i="37" s="1"/>
  <c r="B20" i="37" s="1"/>
  <c r="B21" i="37" s="1"/>
  <c r="B22" i="37" s="1"/>
  <c r="B23" i="37" s="1"/>
  <c r="B24" i="37" s="1"/>
  <c r="B25" i="37" s="1"/>
  <c r="B26" i="37" s="1"/>
  <c r="B27" i="37" s="1"/>
  <c r="AA8" i="28" l="1"/>
  <c r="L22" i="20" l="1"/>
  <c r="L23" i="20"/>
  <c r="L21" i="20"/>
  <c r="J22" i="20"/>
  <c r="E8" i="28" l="1"/>
  <c r="E6" i="28"/>
  <c r="E9" i="28"/>
  <c r="E7" i="28"/>
  <c r="H8" i="28" l="1"/>
  <c r="I8" i="28"/>
  <c r="J6" i="28"/>
  <c r="I6" i="28"/>
  <c r="H6" i="28"/>
  <c r="G9" i="28"/>
  <c r="D51" i="28" s="1"/>
  <c r="I9" i="28"/>
  <c r="J7" i="28"/>
  <c r="I7" i="28"/>
  <c r="I59" i="41"/>
  <c r="C94" i="28"/>
  <c r="E56" i="28"/>
  <c r="Q56" i="28"/>
  <c r="I54" i="28"/>
  <c r="U54" i="28"/>
  <c r="M52" i="28"/>
  <c r="F56" i="28"/>
  <c r="R56" i="28"/>
  <c r="J54" i="28"/>
  <c r="V54" i="28"/>
  <c r="N52" i="28"/>
  <c r="G56" i="28"/>
  <c r="S56" i="28"/>
  <c r="K54" i="28"/>
  <c r="O52" i="28"/>
  <c r="H56" i="28"/>
  <c r="T56" i="28"/>
  <c r="L54" i="28"/>
  <c r="D52" i="28"/>
  <c r="P52" i="28"/>
  <c r="I56" i="28"/>
  <c r="U56" i="28"/>
  <c r="M54" i="28"/>
  <c r="E52" i="28"/>
  <c r="Q52" i="28"/>
  <c r="J56" i="28"/>
  <c r="V56" i="28"/>
  <c r="N54" i="28"/>
  <c r="F52" i="28"/>
  <c r="R52" i="28"/>
  <c r="K56" i="28"/>
  <c r="O54" i="28"/>
  <c r="G52" i="28"/>
  <c r="S52" i="28"/>
  <c r="L56" i="28"/>
  <c r="D54" i="28"/>
  <c r="P54" i="28"/>
  <c r="H52" i="28"/>
  <c r="T52" i="28"/>
  <c r="M56" i="28"/>
  <c r="E54" i="28"/>
  <c r="Q54" i="28"/>
  <c r="I52" i="28"/>
  <c r="U52" i="28"/>
  <c r="N56" i="28"/>
  <c r="F54" i="28"/>
  <c r="R54" i="28"/>
  <c r="J52" i="28"/>
  <c r="V52" i="28"/>
  <c r="O56" i="28"/>
  <c r="G54" i="28"/>
  <c r="S54" i="28"/>
  <c r="K52" i="28"/>
  <c r="D56" i="28"/>
  <c r="P56" i="28"/>
  <c r="H54" i="28"/>
  <c r="T54" i="28"/>
  <c r="L52" i="28"/>
  <c r="C52" i="28"/>
  <c r="C54" i="28"/>
  <c r="C56" i="28"/>
  <c r="G8" i="28"/>
  <c r="G6" i="28"/>
  <c r="H9" i="28"/>
  <c r="J9" i="28"/>
  <c r="J8" i="28"/>
  <c r="H7" i="28"/>
  <c r="G7" i="28"/>
  <c r="L7" i="28" l="1"/>
  <c r="G85" i="41" s="1"/>
  <c r="K6" i="28"/>
  <c r="F76" i="41" s="1"/>
  <c r="L9" i="28"/>
  <c r="I85" i="41" s="1"/>
  <c r="L6" i="28"/>
  <c r="F85" i="41" s="1"/>
  <c r="L8" i="28"/>
  <c r="H85" i="41" s="1"/>
  <c r="K8" i="28"/>
  <c r="J42" i="28"/>
  <c r="K42" i="28"/>
  <c r="F59" i="41"/>
  <c r="H59" i="41"/>
  <c r="G59" i="41"/>
  <c r="C92" i="28"/>
  <c r="C93" i="28"/>
  <c r="C91" i="28"/>
  <c r="F16" i="28"/>
  <c r="F15" i="28"/>
  <c r="D38" i="28"/>
  <c r="P38" i="28"/>
  <c r="E38" i="28"/>
  <c r="Q38" i="28"/>
  <c r="F38" i="28"/>
  <c r="R38" i="28"/>
  <c r="G38" i="28"/>
  <c r="S38" i="28"/>
  <c r="H38" i="28"/>
  <c r="T38" i="28"/>
  <c r="I38" i="28"/>
  <c r="U38" i="28"/>
  <c r="J38" i="28"/>
  <c r="V38" i="28"/>
  <c r="K38" i="28"/>
  <c r="L38" i="28"/>
  <c r="M38" i="28"/>
  <c r="N38" i="28"/>
  <c r="O38" i="28"/>
  <c r="C38" i="28"/>
  <c r="I36" i="28"/>
  <c r="U36" i="28"/>
  <c r="J34" i="28"/>
  <c r="V34" i="28"/>
  <c r="J36" i="28"/>
  <c r="V36" i="28"/>
  <c r="K34" i="28"/>
  <c r="K36" i="28"/>
  <c r="L34" i="28"/>
  <c r="L36" i="28"/>
  <c r="M34" i="28"/>
  <c r="M36" i="28"/>
  <c r="N34" i="28"/>
  <c r="N36" i="28"/>
  <c r="O34" i="28"/>
  <c r="O36" i="28"/>
  <c r="Q36" i="28"/>
  <c r="U34" i="28"/>
  <c r="R36" i="28"/>
  <c r="D34" i="28"/>
  <c r="S36" i="28"/>
  <c r="E34" i="28"/>
  <c r="T36" i="28"/>
  <c r="F34" i="28"/>
  <c r="G34" i="28"/>
  <c r="H34" i="28"/>
  <c r="D36" i="28"/>
  <c r="I34" i="28"/>
  <c r="E36" i="28"/>
  <c r="P34" i="28"/>
  <c r="F36" i="28"/>
  <c r="Q34" i="28"/>
  <c r="G36" i="28"/>
  <c r="R34" i="28"/>
  <c r="H36" i="28"/>
  <c r="S34" i="28"/>
  <c r="P36" i="28"/>
  <c r="T34" i="28"/>
  <c r="C34" i="28"/>
  <c r="C25" i="28"/>
  <c r="G29" i="28"/>
  <c r="S29" i="28"/>
  <c r="L25" i="28"/>
  <c r="H29" i="28"/>
  <c r="T29" i="28"/>
  <c r="M25" i="28"/>
  <c r="I29" i="28"/>
  <c r="U29" i="28"/>
  <c r="N25" i="28"/>
  <c r="J29" i="28"/>
  <c r="V29" i="28"/>
  <c r="O25" i="28"/>
  <c r="K29" i="28"/>
  <c r="D25" i="28"/>
  <c r="P25" i="28"/>
  <c r="L29" i="28"/>
  <c r="E25" i="28"/>
  <c r="Q25" i="28"/>
  <c r="M29" i="28"/>
  <c r="E29" i="28"/>
  <c r="K25" i="28"/>
  <c r="F29" i="28"/>
  <c r="R25" i="28"/>
  <c r="N29" i="28"/>
  <c r="S25" i="28"/>
  <c r="O29" i="28"/>
  <c r="T25" i="28"/>
  <c r="P29" i="28"/>
  <c r="U25" i="28"/>
  <c r="Q29" i="28"/>
  <c r="V25" i="28"/>
  <c r="R29" i="28"/>
  <c r="F25" i="28"/>
  <c r="G25" i="28"/>
  <c r="H25" i="28"/>
  <c r="I25" i="28"/>
  <c r="D29" i="28"/>
  <c r="J25" i="28"/>
  <c r="M45" i="28"/>
  <c r="I45" i="28"/>
  <c r="S47" i="28"/>
  <c r="P47" i="28"/>
  <c r="J43" i="28"/>
  <c r="N45" i="28"/>
  <c r="J45" i="28"/>
  <c r="H47" i="28"/>
  <c r="D47" i="28"/>
  <c r="V43" i="28"/>
  <c r="O45" i="28"/>
  <c r="K45" i="28"/>
  <c r="T47" i="28"/>
  <c r="E43" i="28"/>
  <c r="K43" i="28"/>
  <c r="D45" i="28"/>
  <c r="L45" i="28"/>
  <c r="I47" i="28"/>
  <c r="Q43" i="28"/>
  <c r="D43" i="28"/>
  <c r="E45" i="28"/>
  <c r="U45" i="28"/>
  <c r="J47" i="28"/>
  <c r="R43" i="28"/>
  <c r="M43" i="28"/>
  <c r="Q45" i="28"/>
  <c r="V45" i="28"/>
  <c r="V47" i="28"/>
  <c r="N43" i="28"/>
  <c r="F45" i="28"/>
  <c r="K47" i="28"/>
  <c r="S43" i="28"/>
  <c r="O43" i="28"/>
  <c r="Q47" i="28"/>
  <c r="H43" i="28"/>
  <c r="P43" i="28"/>
  <c r="F47" i="28"/>
  <c r="T43" i="28"/>
  <c r="S45" i="28"/>
  <c r="N47" i="28"/>
  <c r="H45" i="28"/>
  <c r="O47" i="28"/>
  <c r="U43" i="28"/>
  <c r="P45" i="28"/>
  <c r="T45" i="28"/>
  <c r="U47" i="28"/>
  <c r="F43" i="28"/>
  <c r="L43" i="28"/>
  <c r="G43" i="28"/>
  <c r="E47" i="28"/>
  <c r="R45" i="28"/>
  <c r="L47" i="28"/>
  <c r="G45" i="28"/>
  <c r="M47" i="28"/>
  <c r="R47" i="28"/>
  <c r="I43" i="28"/>
  <c r="G47" i="28"/>
  <c r="C47" i="28"/>
  <c r="C45" i="28"/>
  <c r="C43" i="28"/>
  <c r="C36" i="28"/>
  <c r="N27" i="28"/>
  <c r="O27" i="28"/>
  <c r="D27" i="28"/>
  <c r="P27" i="28"/>
  <c r="E27" i="28"/>
  <c r="Q27" i="28"/>
  <c r="F27" i="28"/>
  <c r="R27" i="28"/>
  <c r="G27" i="28"/>
  <c r="S27" i="28"/>
  <c r="T27" i="28"/>
  <c r="I27" i="28"/>
  <c r="U27" i="28"/>
  <c r="J27" i="28"/>
  <c r="V27" i="28"/>
  <c r="K27" i="28"/>
  <c r="L27" i="28"/>
  <c r="M27" i="28"/>
  <c r="H27" i="28"/>
  <c r="C27" i="28"/>
  <c r="C29" i="28"/>
  <c r="E42" i="28"/>
  <c r="K9" i="28"/>
  <c r="K7" i="28"/>
  <c r="G70" i="41" l="1"/>
  <c r="G22" i="41" s="1"/>
  <c r="F65" i="41"/>
  <c r="F18" i="41" s="1"/>
  <c r="I70" i="41"/>
  <c r="I22" i="41" s="1"/>
  <c r="F70" i="41"/>
  <c r="H70" i="41"/>
  <c r="H22" i="41" s="1"/>
  <c r="H39" i="41"/>
  <c r="J70" i="41"/>
  <c r="J59" i="41"/>
  <c r="F29" i="41"/>
  <c r="G76" i="41"/>
  <c r="I76" i="41"/>
  <c r="I55" i="41"/>
  <c r="I9" i="41" s="1"/>
  <c r="I56" i="41"/>
  <c r="I10" i="41" s="1"/>
  <c r="H76" i="41"/>
  <c r="E16" i="28"/>
  <c r="D16" i="28"/>
  <c r="C16" i="28"/>
  <c r="D15" i="28"/>
  <c r="E15" i="28"/>
  <c r="C15" i="28"/>
  <c r="F22" i="41" l="1"/>
  <c r="H55" i="41"/>
  <c r="H9" i="41" s="1"/>
  <c r="F55" i="41"/>
  <c r="F9" i="41" s="1"/>
  <c r="G56" i="41"/>
  <c r="G10" i="41" s="1"/>
  <c r="H56" i="41"/>
  <c r="H10" i="41" s="1"/>
  <c r="I29" i="41"/>
  <c r="I65" i="41"/>
  <c r="I18" i="41" s="1"/>
  <c r="I54" i="41"/>
  <c r="G29" i="41"/>
  <c r="G65" i="41"/>
  <c r="H65" i="41"/>
  <c r="H18" i="41" s="1"/>
  <c r="H29" i="41"/>
  <c r="F56" i="41"/>
  <c r="F10" i="41" s="1"/>
  <c r="G55" i="41"/>
  <c r="G9" i="41" s="1"/>
  <c r="G18" i="41" l="1"/>
  <c r="J65" i="41"/>
  <c r="J56" i="41"/>
  <c r="J55" i="41"/>
  <c r="F54" i="41"/>
  <c r="G54" i="41"/>
  <c r="H54" i="41"/>
  <c r="I58" i="41"/>
  <c r="I8" i="41"/>
  <c r="C95" i="28"/>
  <c r="D91" i="28" s="1"/>
  <c r="J54" i="41" l="1"/>
  <c r="H58" i="41"/>
  <c r="H8" i="41"/>
  <c r="F107" i="41" s="1" a="1"/>
  <c r="F107" i="41" s="1"/>
  <c r="G58" i="41"/>
  <c r="G8" i="41"/>
  <c r="I60" i="41"/>
  <c r="I73" i="41"/>
  <c r="F58" i="41"/>
  <c r="F73" i="41" s="1"/>
  <c r="F26" i="41" s="1"/>
  <c r="F8" i="41"/>
  <c r="D92" i="28"/>
  <c r="D93" i="28"/>
  <c r="D94" i="28"/>
  <c r="I82" i="41" l="1"/>
  <c r="I36" i="41" s="1"/>
  <c r="F74" i="41"/>
  <c r="F64" i="41" s="1"/>
  <c r="F82" i="41"/>
  <c r="F36" i="41" s="1"/>
  <c r="D95" i="28"/>
  <c r="G60" i="41"/>
  <c r="G73" i="41"/>
  <c r="I74" i="41"/>
  <c r="I26" i="41"/>
  <c r="F60" i="41"/>
  <c r="H73" i="41"/>
  <c r="H60" i="41"/>
  <c r="F17" i="41" l="1"/>
  <c r="G82" i="41"/>
  <c r="G36" i="41" s="1"/>
  <c r="I83" i="41"/>
  <c r="F75" i="41"/>
  <c r="F83" i="41"/>
  <c r="H26" i="41"/>
  <c r="H82" i="41"/>
  <c r="H36" i="41" s="1"/>
  <c r="J60" i="41"/>
  <c r="H74" i="41"/>
  <c r="G74" i="41"/>
  <c r="G26" i="41"/>
  <c r="J73" i="41"/>
  <c r="J26" i="41" s="1"/>
  <c r="J58" i="41"/>
  <c r="I75" i="41"/>
  <c r="I28" i="41" s="1"/>
  <c r="I27" i="41"/>
  <c r="I64" i="41"/>
  <c r="I17" i="41" s="1"/>
  <c r="J82" i="41" l="1"/>
  <c r="J36" i="41" s="1"/>
  <c r="I84" i="41"/>
  <c r="I38" i="41" s="1"/>
  <c r="I37" i="41"/>
  <c r="I69" i="41"/>
  <c r="I21" i="41" s="1"/>
  <c r="F37" i="41"/>
  <c r="F69" i="41"/>
  <c r="F21" i="41" s="1"/>
  <c r="H83" i="41"/>
  <c r="G83" i="41"/>
  <c r="J86" i="41"/>
  <c r="J40" i="41" s="1"/>
  <c r="J77" i="41"/>
  <c r="F84" i="41"/>
  <c r="F38" i="41" s="1"/>
  <c r="J74" i="41"/>
  <c r="F27" i="41"/>
  <c r="F28" i="41"/>
  <c r="H27" i="41"/>
  <c r="H64" i="41"/>
  <c r="H17" i="41" s="1"/>
  <c r="H75" i="41"/>
  <c r="H28" i="41" s="1"/>
  <c r="G27" i="41"/>
  <c r="G75" i="41"/>
  <c r="G28" i="41" s="1"/>
  <c r="G64" i="41"/>
  <c r="H84" i="41" l="1"/>
  <c r="H37" i="41"/>
  <c r="H69" i="41"/>
  <c r="G37" i="41"/>
  <c r="G69" i="41"/>
  <c r="G21" i="41" s="1"/>
  <c r="G17" i="41"/>
  <c r="J64" i="41"/>
  <c r="G84" i="41"/>
  <c r="G38" i="41" s="1"/>
  <c r="J83" i="41"/>
  <c r="J79" i="41"/>
  <c r="J32" i="41" s="1"/>
  <c r="J30" i="41"/>
  <c r="J88" i="41"/>
  <c r="J42" i="41" s="1"/>
  <c r="H77" i="41"/>
  <c r="J76" i="41"/>
  <c r="J27" i="41"/>
  <c r="I77" i="41"/>
  <c r="I86" i="41" s="1"/>
  <c r="I40" i="41" s="1"/>
  <c r="F77" i="41"/>
  <c r="J75" i="41"/>
  <c r="J78" i="41" s="1"/>
  <c r="G77" i="41"/>
  <c r="H21" i="41" l="1"/>
  <c r="F108" i="41" a="1"/>
  <c r="F108" i="41" s="1"/>
  <c r="H38" i="41"/>
  <c r="J84" i="41"/>
  <c r="J85" i="41"/>
  <c r="J39" i="41" s="1"/>
  <c r="J37" i="41"/>
  <c r="H78" i="41"/>
  <c r="H31" i="41" s="1"/>
  <c r="H86" i="41"/>
  <c r="F109" i="41" s="1" a="1"/>
  <c r="F109" i="41" s="1"/>
  <c r="F78" i="41"/>
  <c r="F31" i="41" s="1"/>
  <c r="F86" i="41"/>
  <c r="G78" i="41"/>
  <c r="G31" i="41" s="1"/>
  <c r="G86" i="41"/>
  <c r="I87" i="41"/>
  <c r="I41" i="41" s="1"/>
  <c r="J28" i="41"/>
  <c r="J29" i="41"/>
  <c r="I30" i="41"/>
  <c r="I79" i="41"/>
  <c r="I78" i="41"/>
  <c r="I31" i="41" s="1"/>
  <c r="F30" i="41"/>
  <c r="F79" i="41"/>
  <c r="H30" i="41"/>
  <c r="H79" i="41"/>
  <c r="G30" i="41"/>
  <c r="G79" i="41"/>
  <c r="E116" i="41" l="1"/>
  <c r="J87" i="41"/>
  <c r="J41" i="41" s="1"/>
  <c r="J38" i="41"/>
  <c r="H87" i="41"/>
  <c r="H41" i="41" s="1"/>
  <c r="H40" i="41"/>
  <c r="F87" i="41"/>
  <c r="F41" i="41" s="1"/>
  <c r="F40" i="41"/>
  <c r="G87" i="41"/>
  <c r="G41" i="41" s="1"/>
  <c r="G40" i="41"/>
  <c r="I32" i="41"/>
  <c r="I88" i="41"/>
  <c r="I42" i="41" s="1"/>
  <c r="F32" i="41"/>
  <c r="F88" i="41"/>
  <c r="F42" i="41" s="1"/>
  <c r="H32" i="41"/>
  <c r="H88" i="41"/>
  <c r="H42" i="41" s="1"/>
  <c r="G32" i="41"/>
  <c r="G88" i="41"/>
  <c r="G42" i="41" s="1"/>
  <c r="J31" i="41"/>
  <c r="F121" i="41" l="1" a="1"/>
  <c r="F121" i="41" s="1"/>
  <c r="F120" i="41" a="1"/>
  <c r="F120" i="41" s="1"/>
  <c r="F119" i="41" a="1"/>
  <c r="F119" i="41" s="1"/>
  <c r="F124" i="41" a="1"/>
  <c r="F124" i="41" s="1"/>
  <c r="F123" i="41" a="1"/>
  <c r="F123" i="41" s="1"/>
  <c r="F122" i="41" a="1"/>
  <c r="F122" i="41" s="1"/>
  <c r="F125" i="41" a="1"/>
  <c r="F125" i="41" s="1"/>
  <c r="F127" i="41" a="1"/>
  <c r="F127" i="41" s="1"/>
  <c r="F126" i="41" a="1"/>
  <c r="F126" i="41" s="1"/>
  <c r="F128" i="41" a="1"/>
  <c r="F128" i="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Mads Neergaard</author>
  </authors>
  <commentList>
    <comment ref="B29" authorId="0" shapeId="0" xr:uid="{622E145A-DE46-4981-BB4B-1E0CB0EC1F46}">
      <text>
        <r>
          <rPr>
            <sz val="12"/>
            <color indexed="81"/>
            <rFont val="Geist"/>
            <family val="3"/>
          </rPr>
          <t>If multiple POS's used, leave following cells blank and fill in table on row 37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<sst xmlns="http://schemas.openxmlformats.org/spreadsheetml/2006/main" count="1185" uniqueCount="745">
  <si>
    <t>Data category</t>
  </si>
  <si>
    <t>Data point (column name)</t>
  </si>
  <si>
    <t>Unit</t>
  </si>
  <si>
    <t>Description</t>
  </si>
  <si>
    <t>Options for each data point</t>
  </si>
  <si>
    <t>Katalist data</t>
  </si>
  <si>
    <t>Registry user</t>
  </si>
  <si>
    <t>N/A</t>
  </si>
  <si>
    <t>Company name of the registry user booking the voyage</t>
  </si>
  <si>
    <t>Registry Account ID</t>
  </si>
  <si>
    <t>The unique ID number of the registry user's registry account</t>
  </si>
  <si>
    <t>Role of registry user</t>
  </si>
  <si>
    <t xml:space="preserve">Role of the shipping company who is booking the voyage </t>
  </si>
  <si>
    <t>Shipowner, Ship operator</t>
  </si>
  <si>
    <t xml:space="preserve">Name of company who did not book the voyage </t>
  </si>
  <si>
    <t>Name of [shipowner or ship operator] who did not book the voyage</t>
  </si>
  <si>
    <t>Vessel data</t>
  </si>
  <si>
    <t>IMO No.</t>
  </si>
  <si>
    <t>The IMO ship unique identification number.</t>
  </si>
  <si>
    <t>Vessel Name</t>
  </si>
  <si>
    <t>Vessel name.</t>
  </si>
  <si>
    <t>Vessel Type</t>
  </si>
  <si>
    <t>Vessel type as per IMO classification</t>
  </si>
  <si>
    <t>Bulk Carrier, Gas carrier, Tanker, Container ship, General cargo ship, Refigerated cargo carrier, Combination Carrier, LNG Carrier, Ro-ro Cargo Ship (vehicle carrier), Ro-ro cargo ship, Ro-ro passenger ship, Cruise passenger ship, Service Vessel
https://wwwcdn.imo.org/localresources/en/OurWork/Environment/Documents/Air%20pollution/MEPC.337(76).pdf</t>
  </si>
  <si>
    <t>Cargo Capacity</t>
  </si>
  <si>
    <t>The maximum cargo carrying capacity loaded to the ships summer loading mark (i.e. maximum allowable draught). Expressed in a real positive number.</t>
  </si>
  <si>
    <t>Cargo Capacity Units</t>
  </si>
  <si>
    <t>The unit of the cargo capacity the ship.</t>
  </si>
  <si>
    <t>Metric tonne,  cubic meter, twenty-foot equivalent, number of passengers unit, car equivalent unit</t>
  </si>
  <si>
    <t>Unique Voyage ID</t>
  </si>
  <si>
    <t>The unique voyage ID used by the uploader in their internal monitoring systems</t>
  </si>
  <si>
    <t>Voyage data (per leg)</t>
  </si>
  <si>
    <t>Departure Date</t>
  </si>
  <si>
    <t>DD-MM-YYYY hh:mm</t>
  </si>
  <si>
    <t>The UTC date and time of departure (last mooring line onboard) from its last terminal berth of cargo operation either loading or discharging.</t>
  </si>
  <si>
    <t>Departure Port Name</t>
  </si>
  <si>
    <t>Name of the departure port as per UN/LOCODE</t>
  </si>
  <si>
    <t>https://unece.org/trade/cefact/unlocode-code-list-country-and-territory</t>
  </si>
  <si>
    <t xml:space="preserve">Arrival Date </t>
  </si>
  <si>
    <t xml:space="preserve">The UTC date and time of arrival. All mooring lines fastened and prior to loading or discharging cargo </t>
  </si>
  <si>
    <t>Arrival Port Name</t>
  </si>
  <si>
    <t>Name of the arrival port as per UN/LOCODE</t>
  </si>
  <si>
    <t>Date leaving arrival port</t>
  </si>
  <si>
    <t xml:space="preserve">The UTC date and time of departure from arrival port - same as the departure date for the subsequent leg </t>
  </si>
  <si>
    <t>Distance sailed</t>
  </si>
  <si>
    <t>Nautical miles</t>
  </si>
  <si>
    <t>Sailed distance (the great-circle distance) between departure and arrival port as logged by GPS (distance travelled over ground).</t>
  </si>
  <si>
    <t>Fuel Type</t>
  </si>
  <si>
    <t>The type of fuel oil consumed on the leg and the following cargo operation/port stay</t>
  </si>
  <si>
    <t xml:space="preserve"> Heavy fuel oil (HFO), Light fuel oil (LFO), Marine gas oil (MGO), Liquified natural gas (LNG), Ammonia, Methanol, Alternative fuel</t>
  </si>
  <si>
    <t>Fuel consumption included</t>
  </si>
  <si>
    <t xml:space="preserve">Fuel consumption at sea includes maneuvering away from berth and leaving port, sailing, maneuvering to anchorage, anchorage, and maneuvering to berth. Fuel consumption at sea and at berth includes all activities included at sea as well as activities when docked at berth. </t>
  </si>
  <si>
    <t>"At sea" or "At sea and at berth"</t>
  </si>
  <si>
    <t>Fuel consumption</t>
  </si>
  <si>
    <t>metric tonnes</t>
  </si>
  <si>
    <t>All fuel consumed on board including but not limited to the fuel consumed by the main engines, auxiliary engines, gas turbines, boilers and inert gas generator</t>
  </si>
  <si>
    <t>Additionality Criteria</t>
  </si>
  <si>
    <t>Amount of SMF used under EU ETS</t>
  </si>
  <si>
    <t>The amount of SMF used within the scope of EU ETS.</t>
  </si>
  <si>
    <t>Amount of SMF used to comply with FuelEU</t>
  </si>
  <si>
    <t>The amount of SMF used towards compliance with FuelEU, including SMF that is pooled, banked for future compliance with the FuelEU, or used to cancel borrowed deficit from previous years</t>
  </si>
  <si>
    <t>Cargo data (per leg)</t>
  </si>
  <si>
    <t>Total Cargo Carried</t>
  </si>
  <si>
    <t>Quantity of total cargo transported on the leg expressed as a real positive number.</t>
  </si>
  <si>
    <t>Cargo Unit</t>
  </si>
  <si>
    <t>The unit of what is carried onboard in metric tonne,  cubic meter, twenty-foot equivalent unit, number of passengers, number of cars</t>
  </si>
  <si>
    <t>Metric tonne, cubic meter, twenty-foot equivalent unit, number of passengers, car equivalent unit</t>
  </si>
  <si>
    <t>Fuel data  - (only relevant for blends)</t>
  </si>
  <si>
    <t>Is it a Blend?</t>
  </si>
  <si>
    <t>Indicator of whether the fuel used is a blend of two different types.</t>
  </si>
  <si>
    <t>Yes, No</t>
  </si>
  <si>
    <t>Conventional fuel portion of blend</t>
  </si>
  <si>
    <t>The name of the conventional fuel that is blended with alternative fuel</t>
  </si>
  <si>
    <t xml:space="preserve"> Heavy fuel oil (HFO), Light fuel oil (LFO), Marine gas oil (MGO), Liquified natural gas (LNG), Methanol</t>
  </si>
  <si>
    <t>Type of alternative fuel</t>
  </si>
  <si>
    <t>The type of the alternative fuel used on the voyage</t>
  </si>
  <si>
    <t>Biodiesel, Bioethanol, Biogas / Biomethane, Biomethanol, Co-processed oil to be used for replacement of diesel, Co-processed oil to be used for replacement of marine fuel, Co-processed oil to be used for replacement of naptha, Co-processed oil to be used for replacement of petrol, Co-processed oil to be used for replacement of jet fuel, Co-processed oil to be used for replacement of liquefied petroleum gas, Co-processed oil for the replacement of diesel/petrol/jet fuel produced from biomethane, HVO - hydrotreated vegetable oil, Pure vegetable oil, Other</t>
  </si>
  <si>
    <t>Alternative proportion of the blend</t>
  </si>
  <si>
    <t>%</t>
  </si>
  <si>
    <t>Weight of alternative fuel divided by the sum of the weight of alternative fuel and weight of conventional fuel it was blended with</t>
  </si>
  <si>
    <t>Fuel data - (only relevant for the alternative fuel portion of a blend or alternative fuel that is not blended)</t>
  </si>
  <si>
    <t>Well to Tank emission factor (including credits)</t>
  </si>
  <si>
    <r>
      <t>gCO</t>
    </r>
    <r>
      <rPr>
        <vertAlign val="subscript"/>
        <sz val="11"/>
        <color theme="1"/>
        <rFont val="Geist"/>
        <family val="3"/>
      </rPr>
      <t>2</t>
    </r>
    <r>
      <rPr>
        <sz val="11"/>
        <color theme="1"/>
        <rFont val="Geist"/>
        <family val="3"/>
      </rPr>
      <t>e / MJ</t>
    </r>
  </si>
  <si>
    <t>The upstream energy based emission factor for fuel</t>
  </si>
  <si>
    <t>Well to Tank emission factor (excluding credits)</t>
  </si>
  <si>
    <t>gCO2e / MJ</t>
  </si>
  <si>
    <t>Tank to Wake emission factors</t>
  </si>
  <si>
    <t>The downstream energy based emission factor for fuel</t>
  </si>
  <si>
    <t>LCV</t>
  </si>
  <si>
    <t>MJ/ g fuel</t>
  </si>
  <si>
    <t xml:space="preserve">Lower calorific value measures the released energy when a fuel is burnt </t>
  </si>
  <si>
    <t>Type of feedstock</t>
  </si>
  <si>
    <t xml:space="preserve">Standardized options to create a list of all key feedstock that is used to produce the fuel </t>
  </si>
  <si>
    <t>List of materials eligible for certification under EU RED</t>
  </si>
  <si>
    <t>Country of origin of feedstock</t>
  </si>
  <si>
    <t>The country in which the raw material is sourced from</t>
  </si>
  <si>
    <t>Proof of Sustainability number</t>
  </si>
  <si>
    <t>Unique number of POS</t>
  </si>
  <si>
    <t xml:space="preserve">Certification scheme </t>
  </si>
  <si>
    <t>The certification scheme for the alternative fuel as per defined in the IMO's interim guidence on the use of biofuels under regulation 26, 27 and 28 of MARPOL Annex VI (DCS and CII)</t>
  </si>
  <si>
    <t>RSB EU RED, RSB global,  ISCC EU, ISCC Plus</t>
  </si>
  <si>
    <t>Date of Bunkering</t>
  </si>
  <si>
    <t>DD-MM-YYYY</t>
  </si>
  <si>
    <t xml:space="preserve">The UTC date of the bunker event that include alternative fuels. </t>
  </si>
  <si>
    <t>Amount of bunkered Alternative Fuel</t>
  </si>
  <si>
    <t>The total amount of fuel bunkered. In the case of blends with conventional fuel, include the total mass of the blend.</t>
  </si>
  <si>
    <t>Input required</t>
  </si>
  <si>
    <t>Input from drop down list</t>
  </si>
  <si>
    <t>ID</t>
  </si>
  <si>
    <t>Vessel Details</t>
  </si>
  <si>
    <t>Voyage</t>
  </si>
  <si>
    <t>Identifying information for uploader and vessel</t>
  </si>
  <si>
    <t>Voyage Details</t>
  </si>
  <si>
    <t>Total fuel consumption while at sea and at berth</t>
  </si>
  <si>
    <t>Cargo Information</t>
  </si>
  <si>
    <t xml:space="preserve">EU ETS </t>
  </si>
  <si>
    <t>FuelEU</t>
  </si>
  <si>
    <t>Leg</t>
  </si>
  <si>
    <t>Registry User</t>
  </si>
  <si>
    <t xml:space="preserve">Unique Voyage ID </t>
  </si>
  <si>
    <t xml:space="preserve">Distance sailed </t>
  </si>
  <si>
    <t>Cargo Units</t>
  </si>
  <si>
    <t>#</t>
  </si>
  <si>
    <t>-</t>
  </si>
  <si>
    <t>nautical miles</t>
  </si>
  <si>
    <t>tonnes</t>
  </si>
  <si>
    <t>Same all legs</t>
  </si>
  <si>
    <t>Alternative fuel characteristics</t>
  </si>
  <si>
    <t>Parameter</t>
  </si>
  <si>
    <t>Conventional fuel portion</t>
  </si>
  <si>
    <t>Well to Tank emission factor
(incl. credits)</t>
  </si>
  <si>
    <t>Well to Tank emission factor 
(excl. credits)</t>
  </si>
  <si>
    <t>Tank to Wake emission factor</t>
  </si>
  <si>
    <t>Date of Bunker</t>
  </si>
  <si>
    <t>% (tonne/tonne)</t>
  </si>
  <si>
    <r>
      <t>gCO</t>
    </r>
    <r>
      <rPr>
        <vertAlign val="subscript"/>
        <sz val="11"/>
        <color theme="1"/>
        <rFont val="Geist"/>
        <family val="3"/>
      </rPr>
      <t>2</t>
    </r>
    <r>
      <rPr>
        <sz val="11"/>
        <color theme="1"/>
        <rFont val="Geist"/>
        <family val="3"/>
      </rPr>
      <t>e/MJ</t>
    </r>
  </si>
  <si>
    <t>MJ/g fuel</t>
  </si>
  <si>
    <t>Metric tonnes</t>
  </si>
  <si>
    <t xml:space="preserve">For alternative fuels that include multiple POS's, please fill in below tables </t>
  </si>
  <si>
    <t>Alternative Fuel 1</t>
  </si>
  <si>
    <t xml:space="preserve">Quantity </t>
  </si>
  <si>
    <t>Units</t>
  </si>
  <si>
    <t>Energy content (MJ)</t>
  </si>
  <si>
    <t>Well to Tank emission factor incl. credits (gCO2e/MJ)</t>
  </si>
  <si>
    <t>Well to Tank emission factor excl. credits (gCO2e/MJ)</t>
  </si>
  <si>
    <t>Tank to Wake emission factor (gCO2e/MJ)</t>
  </si>
  <si>
    <t>Share of the alternative fuel portion (quantity)</t>
  </si>
  <si>
    <t>Share of the alternative fuel portion (energy)</t>
  </si>
  <si>
    <t>LCV (MJ/g)</t>
  </si>
  <si>
    <t>Proof of Sustainability 1</t>
  </si>
  <si>
    <t>Proof of Sustainability 2</t>
  </si>
  <si>
    <t>Proof of Sustainability 3</t>
  </si>
  <si>
    <t>Proof of Sustainability 4</t>
  </si>
  <si>
    <t>Proof of Sustainability 5</t>
  </si>
  <si>
    <t>Proof of Sustainability 6</t>
  </si>
  <si>
    <t>Proof of Sustainability 7</t>
  </si>
  <si>
    <t>Proof of Sustainability 8</t>
  </si>
  <si>
    <t>Proof of Sustainability 9</t>
  </si>
  <si>
    <t>Proof of Sustainability 10</t>
  </si>
  <si>
    <t>Proof of Sustainability 11</t>
  </si>
  <si>
    <t>Alternative Fuel 2</t>
  </si>
  <si>
    <t>Tank to Wake emission factors (gCO2e/MJ)</t>
  </si>
  <si>
    <t>Alternative Fuel 3</t>
  </si>
  <si>
    <t>Alternative Fuel 4</t>
  </si>
  <si>
    <t>Emission Factors</t>
  </si>
  <si>
    <t>EU Parameters</t>
  </si>
  <si>
    <t>WTW</t>
  </si>
  <si>
    <t>TTW</t>
  </si>
  <si>
    <t>LCV​</t>
  </si>
  <si>
    <t>CO2eq WtT​</t>
  </si>
  <si>
    <t>WtW CO2eq/MJ</t>
  </si>
  <si>
    <t>TtW CO2eq/MJ</t>
  </si>
  <si>
    <t>CO2eq/MJ</t>
  </si>
  <si>
    <t>HFO</t>
  </si>
  <si>
    <t>LFO</t>
  </si>
  <si>
    <t>MGO</t>
  </si>
  <si>
    <t>LNG otto medium speed​</t>
  </si>
  <si>
    <t>LNG otto slow speed​</t>
  </si>
  <si>
    <t>LNG diesel slow speed</t>
  </si>
  <si>
    <t>LNG Lean-burn spark ignited (LBSI)</t>
  </si>
  <si>
    <t>LNG Boiler</t>
  </si>
  <si>
    <t>Ammonia</t>
  </si>
  <si>
    <t>Methanol</t>
  </si>
  <si>
    <t>Drop down lists</t>
  </si>
  <si>
    <t>Yes</t>
  </si>
  <si>
    <t>Calculated</t>
  </si>
  <si>
    <t>Fuel types</t>
  </si>
  <si>
    <t>Bool</t>
  </si>
  <si>
    <t>Conversions</t>
  </si>
  <si>
    <t>Default</t>
  </si>
  <si>
    <t>Allowed for blend (dynamic list)</t>
  </si>
  <si>
    <t>Round off</t>
  </si>
  <si>
    <t>Shipowner</t>
  </si>
  <si>
    <t>RSB Global</t>
  </si>
  <si>
    <t>Bulk Carrier</t>
  </si>
  <si>
    <t>Algae</t>
  </si>
  <si>
    <t>Biodiesel</t>
  </si>
  <si>
    <t>Metric tonne</t>
  </si>
  <si>
    <t>AF</t>
  </si>
  <si>
    <t>No</t>
  </si>
  <si>
    <t>Sounded</t>
  </si>
  <si>
    <t>g to ton</t>
  </si>
  <si>
    <t>Ship Operator</t>
  </si>
  <si>
    <t>RSB EU RED</t>
  </si>
  <si>
    <t>Gas carrier</t>
  </si>
  <si>
    <t>Animal by-products (category 1)</t>
  </si>
  <si>
    <t>Bioethanol</t>
  </si>
  <si>
    <t>Cubic meter</t>
  </si>
  <si>
    <t>AX</t>
  </si>
  <si>
    <t>Total fuel consumption while at sea</t>
  </si>
  <si>
    <t>million</t>
  </si>
  <si>
    <t>Freight Forwarder</t>
  </si>
  <si>
    <t>ISCC EU</t>
  </si>
  <si>
    <t>Tanker</t>
  </si>
  <si>
    <t>Animal by-products (category 2)</t>
  </si>
  <si>
    <t>Biogas / Biomethane</t>
  </si>
  <si>
    <t>Twenty-foot equivalent unit</t>
  </si>
  <si>
    <t>AL</t>
  </si>
  <si>
    <t>Cargo Owner</t>
  </si>
  <si>
    <t>ISCC PLUS</t>
  </si>
  <si>
    <t>Container ship</t>
  </si>
  <si>
    <t>Animal by-products (category 3)</t>
  </si>
  <si>
    <t>Biomethanol</t>
  </si>
  <si>
    <t>Number of passengers</t>
  </si>
  <si>
    <t>DZ</t>
  </si>
  <si>
    <t>General cargo ship</t>
  </si>
  <si>
    <t>Animal by-products (uncategorized)</t>
  </si>
  <si>
    <t>Co-processed oil to be used for replacement of diesel</t>
  </si>
  <si>
    <t>Car equivalent unit</t>
  </si>
  <si>
    <t>AS</t>
  </si>
  <si>
    <t xml:space="preserve"> Refigerated cargo carrier</t>
  </si>
  <si>
    <t>Animal fats from rendering (category 1)</t>
  </si>
  <si>
    <t>Co-processed oil to be used for replacement of marine fuel</t>
  </si>
  <si>
    <t>AD</t>
  </si>
  <si>
    <t>Combination Carrier</t>
  </si>
  <si>
    <t>Animal fats from rendering (category 2)</t>
  </si>
  <si>
    <t>Co-processed oil to be used for replacement of naptha</t>
  </si>
  <si>
    <t>AO</t>
  </si>
  <si>
    <t>LNG Carrier</t>
  </si>
  <si>
    <t>Animal fats from rendering (category 3)</t>
  </si>
  <si>
    <t>Co-processed oil to be used for replacement of petrol</t>
  </si>
  <si>
    <t>AI</t>
  </si>
  <si>
    <t>Ro-ro Cargo Ship (vehicle carrier)</t>
  </si>
  <si>
    <t>Animal fats from rendering (uncategorized)</t>
  </si>
  <si>
    <t>Co-processed oil to be used for replacement of jet fuel</t>
  </si>
  <si>
    <t>AQ</t>
  </si>
  <si>
    <t>Ro-ro cargo ship</t>
  </si>
  <si>
    <t>Bagasse</t>
  </si>
  <si>
    <t>Co-processed oil to be used for replacement of liquefied petroleum gas</t>
  </si>
  <si>
    <t>AG</t>
  </si>
  <si>
    <t>Ro-ro passenger ship</t>
  </si>
  <si>
    <t>Barley</t>
  </si>
  <si>
    <t>Co-processed oil for the replacement of diesel/petrol/jet fuel produced from biomethane</t>
  </si>
  <si>
    <t>AR</t>
  </si>
  <si>
    <t>Alternative Fuel</t>
  </si>
  <si>
    <t>Cruise passenger ship</t>
  </si>
  <si>
    <t>Black liquor</t>
  </si>
  <si>
    <t>HVO - hydrotreated vegetable oil</t>
  </si>
  <si>
    <t>AM</t>
  </si>
  <si>
    <t>Service Vessel</t>
  </si>
  <si>
    <t>Brown grease / grease trap fat</t>
  </si>
  <si>
    <t>Pure vegetable oil</t>
  </si>
  <si>
    <t>AW</t>
  </si>
  <si>
    <t>Brown liquor / spent sulphite liquor</t>
  </si>
  <si>
    <t>Other</t>
  </si>
  <si>
    <t>AU</t>
  </si>
  <si>
    <t>Camelina</t>
  </si>
  <si>
    <t>AT</t>
  </si>
  <si>
    <t>Cashew Nut Shell Liquid (CNSL)</t>
  </si>
  <si>
    <t>AZ</t>
  </si>
  <si>
    <t>Castor seed</t>
  </si>
  <si>
    <t>BH</t>
  </si>
  <si>
    <t>Champost</t>
  </si>
  <si>
    <t>BS</t>
  </si>
  <si>
    <t>Corn / Maize</t>
  </si>
  <si>
    <t>BD</t>
  </si>
  <si>
    <t>Corn / Maize cobs</t>
  </si>
  <si>
    <t>BB</t>
  </si>
  <si>
    <t>Cotton</t>
  </si>
  <si>
    <t>BY</t>
  </si>
  <si>
    <t>Cotton seed</t>
  </si>
  <si>
    <t>BE</t>
  </si>
  <si>
    <t>Croton seed</t>
  </si>
  <si>
    <t>BZ</t>
  </si>
  <si>
    <t>Crude glycerine</t>
  </si>
  <si>
    <t>BJ</t>
  </si>
  <si>
    <t>Crude tall oil (CTO)</t>
  </si>
  <si>
    <t>BM</t>
  </si>
  <si>
    <t>Draff</t>
  </si>
  <si>
    <t>BT</t>
  </si>
  <si>
    <t>Empty Palm Fruit Bunch (EFB) oil</t>
  </si>
  <si>
    <t>BO</t>
  </si>
  <si>
    <t>Empty Palm Fruit Bunches (EFB)</t>
  </si>
  <si>
    <t>BQ</t>
  </si>
  <si>
    <t>Ethanol used in the cleaning/extraction of blood plasma</t>
  </si>
  <si>
    <t>BA</t>
  </si>
  <si>
    <t>Ethanol used in the extraction of ingredients from medicinal plants</t>
  </si>
  <si>
    <t>BW</t>
  </si>
  <si>
    <t>Feed waste</t>
  </si>
  <si>
    <t>BV</t>
  </si>
  <si>
    <t>Fish Oil Ethyl Ester (FOEE)</t>
  </si>
  <si>
    <t>BR</t>
  </si>
  <si>
    <t>Flower bulbs</t>
  </si>
  <si>
    <t>IO</t>
  </si>
  <si>
    <t>Food waste</t>
  </si>
  <si>
    <t>BN</t>
  </si>
  <si>
    <t>Forestry residues</t>
  </si>
  <si>
    <t>BG</t>
  </si>
  <si>
    <t>Forestry processing residues</t>
  </si>
  <si>
    <t>BF</t>
  </si>
  <si>
    <t>Fruit tree cuttings (from agriculture)</t>
  </si>
  <si>
    <t>BI</t>
  </si>
  <si>
    <t>Giant Reed (Arundo donax)</t>
  </si>
  <si>
    <t>KH</t>
  </si>
  <si>
    <t>Grape marc</t>
  </si>
  <si>
    <t>CM</t>
  </si>
  <si>
    <t>Grass</t>
  </si>
  <si>
    <t>CA</t>
  </si>
  <si>
    <t>Grass fiber residues from the production of grass protein</t>
  </si>
  <si>
    <t>CV</t>
  </si>
  <si>
    <t>Hevea seed</t>
  </si>
  <si>
    <t>KY</t>
  </si>
  <si>
    <t>Husks</t>
  </si>
  <si>
    <t>CF</t>
  </si>
  <si>
    <t>Intermediate crop (specification of crop)</t>
  </si>
  <si>
    <t>TD</t>
  </si>
  <si>
    <t>Jatropha</t>
  </si>
  <si>
    <t>CL</t>
  </si>
  <si>
    <t>Linseed / Flaxseed</t>
  </si>
  <si>
    <t>CN</t>
  </si>
  <si>
    <t>Manure</t>
  </si>
  <si>
    <t>CX</t>
  </si>
  <si>
    <t>Matter Organic Non-Glycerol (MONG)</t>
  </si>
  <si>
    <t>CC</t>
  </si>
  <si>
    <t>Municipal grass cuttings</t>
  </si>
  <si>
    <t>CO</t>
  </si>
  <si>
    <t>Mustard / Carinata</t>
  </si>
  <si>
    <t>KM</t>
  </si>
  <si>
    <t>Nut shells (specification of nut)</t>
  </si>
  <si>
    <t>CG</t>
  </si>
  <si>
    <t>Oat</t>
  </si>
  <si>
    <t>CD</t>
  </si>
  <si>
    <t>Oil macauba palm fresh fruit bunches (FFBs)</t>
  </si>
  <si>
    <t>CK</t>
  </si>
  <si>
    <t>Oil palm fresh fruit bunches (FFBs)</t>
  </si>
  <si>
    <t>CR</t>
  </si>
  <si>
    <t>Olives</t>
  </si>
  <si>
    <t>CI</t>
  </si>
  <si>
    <t>Organic municipal solid waste (MSW)</t>
  </si>
  <si>
    <t>HR</t>
  </si>
  <si>
    <t>Out of shelf-life disinfectant</t>
  </si>
  <si>
    <t>CU</t>
  </si>
  <si>
    <t>Palm Fatty Acid Distillate (PFAD)</t>
  </si>
  <si>
    <t>CW</t>
  </si>
  <si>
    <t>Palm kernel shells (PKS)</t>
  </si>
  <si>
    <t>CY</t>
  </si>
  <si>
    <t>Palm oil mill effluent (POME) oil</t>
  </si>
  <si>
    <t>CZ</t>
  </si>
  <si>
    <t>Pelemir seed</t>
  </si>
  <si>
    <t>DK</t>
  </si>
  <si>
    <t>Pongamia seed</t>
  </si>
  <si>
    <t>DJ</t>
  </si>
  <si>
    <t>Pot ale</t>
  </si>
  <si>
    <t>DM</t>
  </si>
  <si>
    <t>Poultry feather acid oil</t>
  </si>
  <si>
    <t>DO</t>
  </si>
  <si>
    <t>Pressed palm fiber oil</t>
  </si>
  <si>
    <t>EC</t>
  </si>
  <si>
    <t>Rapeseed / canola</t>
  </si>
  <si>
    <t>EG</t>
  </si>
  <si>
    <t>Rapeseed residue (double counting)</t>
  </si>
  <si>
    <t>SV</t>
  </si>
  <si>
    <t>Rapeseed residue (single counting)</t>
  </si>
  <si>
    <t>GQ</t>
  </si>
  <si>
    <t>Biogenic fraction of end-of-life tyres</t>
  </si>
  <si>
    <t>ER</t>
  </si>
  <si>
    <t>Residue of FAME end distillation</t>
  </si>
  <si>
    <t>EE</t>
  </si>
  <si>
    <t>Residues from the processing of corn/maize</t>
  </si>
  <si>
    <t>ET</t>
  </si>
  <si>
    <t>Rye</t>
  </si>
  <si>
    <t>FK</t>
  </si>
  <si>
    <t>Safflower / Carthame seed</t>
  </si>
  <si>
    <t>FO</t>
  </si>
  <si>
    <t>Sewage sludge</t>
  </si>
  <si>
    <t>FJ</t>
  </si>
  <si>
    <t>Shea nuts</t>
  </si>
  <si>
    <t>FI</t>
  </si>
  <si>
    <t>Short Rotation Coppice</t>
  </si>
  <si>
    <t>FR</t>
  </si>
  <si>
    <t>Silphium</t>
  </si>
  <si>
    <t>GF</t>
  </si>
  <si>
    <t>Soapstock acid oil contaminated with sulphur</t>
  </si>
  <si>
    <t>PF</t>
  </si>
  <si>
    <t>Sorghum</t>
  </si>
  <si>
    <t>TF</t>
  </si>
  <si>
    <t>Soybean</t>
  </si>
  <si>
    <t>GA</t>
  </si>
  <si>
    <t>Spent bleaching earth</t>
  </si>
  <si>
    <t>GM</t>
  </si>
  <si>
    <t>Starch slurry (low grade)</t>
  </si>
  <si>
    <t>GE</t>
  </si>
  <si>
    <t>Straw</t>
  </si>
  <si>
    <t>DE</t>
  </si>
  <si>
    <t>Sugar beet</t>
  </si>
  <si>
    <t>GH</t>
  </si>
  <si>
    <t>Sugar beet residues</t>
  </si>
  <si>
    <t>GI</t>
  </si>
  <si>
    <t>Sugar beet betaine residue</t>
  </si>
  <si>
    <t>GR</t>
  </si>
  <si>
    <t>Sugar cane</t>
  </si>
  <si>
    <t>GL</t>
  </si>
  <si>
    <t>Sunflower</t>
  </si>
  <si>
    <t>GD</t>
  </si>
  <si>
    <t>Tall oil pitch</t>
  </si>
  <si>
    <t>GP</t>
  </si>
  <si>
    <t>Technical corn oil</t>
  </si>
  <si>
    <t>GU</t>
  </si>
  <si>
    <t>Tiger nuts / Chuffa</t>
  </si>
  <si>
    <t>GT</t>
  </si>
  <si>
    <t>Transesterification residues (TER)</t>
  </si>
  <si>
    <t>GG</t>
  </si>
  <si>
    <t>Triticale</t>
  </si>
  <si>
    <t>GN</t>
  </si>
  <si>
    <t>Unrefined liquid dextrose ultrafiltration retentate</t>
  </si>
  <si>
    <t>GW</t>
  </si>
  <si>
    <t>Used cooking oil (UCO) entirely of veg. origin</t>
  </si>
  <si>
    <t>GY</t>
  </si>
  <si>
    <t>Used cooking oil (UCO)</t>
  </si>
  <si>
    <t>HT</t>
  </si>
  <si>
    <t>Waste pressings (from production of vegetable oils)</t>
  </si>
  <si>
    <t>HM</t>
  </si>
  <si>
    <t>Waste/residues from processing of alcohol</t>
  </si>
  <si>
    <t>VA</t>
  </si>
  <si>
    <t>Waste/residues from processing of vegetable or animal oil (specification of raw material or crop)</t>
  </si>
  <si>
    <t>HN</t>
  </si>
  <si>
    <t>Waste starch slurry</t>
  </si>
  <si>
    <t>HK</t>
  </si>
  <si>
    <t>Waste slurry from the distillation of grain mixtures</t>
  </si>
  <si>
    <t>HU</t>
  </si>
  <si>
    <t>Waste oil from sewage sludge treatment</t>
  </si>
  <si>
    <t>IS</t>
  </si>
  <si>
    <t>Wastewater from ship transport</t>
  </si>
  <si>
    <t>IN</t>
  </si>
  <si>
    <t>Waste wood</t>
  </si>
  <si>
    <t>Wet corn fiber</t>
  </si>
  <si>
    <t>IR</t>
  </si>
  <si>
    <t>Wheat</t>
  </si>
  <si>
    <t>IQ</t>
  </si>
  <si>
    <t>Whey permeate</t>
  </si>
  <si>
    <t>IE</t>
  </si>
  <si>
    <t>Wine lees</t>
  </si>
  <si>
    <t>IM</t>
  </si>
  <si>
    <t>IL</t>
  </si>
  <si>
    <t>IT</t>
  </si>
  <si>
    <t>JM</t>
  </si>
  <si>
    <t>JP</t>
  </si>
  <si>
    <t>JE</t>
  </si>
  <si>
    <t>JO</t>
  </si>
  <si>
    <t>KZ</t>
  </si>
  <si>
    <t>KE</t>
  </si>
  <si>
    <t>KI</t>
  </si>
  <si>
    <t>KP</t>
  </si>
  <si>
    <t>KR</t>
  </si>
  <si>
    <t>KW</t>
  </si>
  <si>
    <t>KG</t>
  </si>
  <si>
    <t>LA</t>
  </si>
  <si>
    <t>LV</t>
  </si>
  <si>
    <t>LB</t>
  </si>
  <si>
    <t>LS</t>
  </si>
  <si>
    <t>LR</t>
  </si>
  <si>
    <t>LY</t>
  </si>
  <si>
    <t>LI</t>
  </si>
  <si>
    <t>LT</t>
  </si>
  <si>
    <t>LU</t>
  </si>
  <si>
    <t>MO</t>
  </si>
  <si>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</si>
  <si>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</si>
  <si>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</si>
  <si>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</si>
  <si>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</si>
  <si>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</si>
  <si>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</si>
  <si>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</si>
  <si>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</si>
  <si>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</si>
  <si>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</si>
  <si>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</si>
  <si>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</si>
  <si>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</si>
  <si>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</si>
  <si>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</si>
  <si>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</si>
  <si>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</si>
  <si>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</si>
  <si>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</si>
  <si>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</si>
  <si>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</si>
  <si>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</si>
  <si>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</si>
  <si>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</si>
  <si>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</si>
  <si>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NC</t>
  </si>
  <si>
    <t>NZ</t>
  </si>
  <si>
    <t>NI</t>
  </si>
  <si>
    <t>NE</t>
  </si>
  <si>
    <t>NG</t>
  </si>
  <si>
    <t>NU</t>
  </si>
  <si>
    <t>NF</t>
  </si>
  <si>
    <t>MP</t>
  </si>
  <si>
    <t>NO</t>
  </si>
  <si>
    <t>OM</t>
  </si>
  <si>
    <t>PK</t>
  </si>
  <si>
    <t>PW</t>
  </si>
  <si>
    <t>PS</t>
  </si>
  <si>
    <t>PA</t>
  </si>
  <si>
    <t>PG</t>
  </si>
  <si>
    <t>PY</t>
  </si>
  <si>
    <t>PE</t>
  </si>
  <si>
    <t>PH</t>
  </si>
  <si>
    <t>PN</t>
  </si>
  <si>
    <t>PL</t>
  </si>
  <si>
    <t>PT</t>
  </si>
  <si>
    <t>PR</t>
  </si>
  <si>
    <t>QA</t>
  </si>
  <si>
    <t>RE</t>
  </si>
  <si>
    <t>RO</t>
  </si>
  <si>
    <t>RU</t>
  </si>
  <si>
    <t>RW</t>
  </si>
  <si>
    <t>BL</t>
  </si>
  <si>
    <t>SH</t>
  </si>
  <si>
    <t>KN</t>
  </si>
  <si>
    <t>LC</t>
  </si>
  <si>
    <t>MF</t>
  </si>
  <si>
    <t>PM</t>
  </si>
  <si>
    <t>VC</t>
  </si>
  <si>
    <t>WS</t>
  </si>
  <si>
    <t>SM</t>
  </si>
  <si>
    <t>ST</t>
  </si>
  <si>
    <t>SA</t>
  </si>
  <si>
    <t>SN</t>
  </si>
  <si>
    <t>RS</t>
  </si>
  <si>
    <t>SC</t>
  </si>
  <si>
    <t>SL</t>
  </si>
  <si>
    <t>SG</t>
  </si>
  <si>
    <t>SX</t>
  </si>
  <si>
    <t>SK</t>
  </si>
  <si>
    <t>SI</t>
  </si>
  <si>
    <t>SB</t>
  </si>
  <si>
    <t>SO</t>
  </si>
  <si>
    <t>ZA</t>
  </si>
  <si>
    <t>GS</t>
  </si>
  <si>
    <t>SS</t>
  </si>
  <si>
    <t>ES</t>
  </si>
  <si>
    <t>LK</t>
  </si>
  <si>
    <t>SD</t>
  </si>
  <si>
    <t>SR</t>
  </si>
  <si>
    <t>SJ</t>
  </si>
  <si>
    <t>SZ</t>
  </si>
  <si>
    <t>SE</t>
  </si>
  <si>
    <t>CH</t>
  </si>
  <si>
    <t>SY</t>
  </si>
  <si>
    <t>TW</t>
  </si>
  <si>
    <t>TJ</t>
  </si>
  <si>
    <t>TZ</t>
  </si>
  <si>
    <t>TH</t>
  </si>
  <si>
    <t>TL</t>
  </si>
  <si>
    <t>TG</t>
  </si>
  <si>
    <t>TK</t>
  </si>
  <si>
    <t>TO</t>
  </si>
  <si>
    <t>TT</t>
  </si>
  <si>
    <t>TN</t>
  </si>
  <si>
    <t>TR</t>
  </si>
  <si>
    <t>TM</t>
  </si>
  <si>
    <t>TC</t>
  </si>
  <si>
    <t>TV</t>
  </si>
  <si>
    <t>UG</t>
  </si>
  <si>
    <t>UA</t>
  </si>
  <si>
    <t>AE</t>
  </si>
  <si>
    <t>GB</t>
  </si>
  <si>
    <t>US</t>
  </si>
  <si>
    <t>UM</t>
  </si>
  <si>
    <t>UY</t>
  </si>
  <si>
    <t>UZ</t>
  </si>
  <si>
    <t>VU</t>
  </si>
  <si>
    <t>VE</t>
  </si>
  <si>
    <t>VN</t>
  </si>
  <si>
    <t>VG</t>
  </si>
  <si>
    <t>VI</t>
  </si>
  <si>
    <t>WF</t>
  </si>
  <si>
    <t>EH</t>
  </si>
  <si>
    <t>YE</t>
  </si>
  <si>
    <t>ZM</t>
  </si>
  <si>
    <t>ZW</t>
  </si>
  <si>
    <t>General</t>
  </si>
  <si>
    <t>Fuel properties</t>
  </si>
  <si>
    <t>Calculations if blend</t>
  </si>
  <si>
    <t>Fuel type</t>
  </si>
  <si>
    <t>Name</t>
  </si>
  <si>
    <t>Included</t>
  </si>
  <si>
    <t>Predefined</t>
  </si>
  <si>
    <t>Is blend</t>
  </si>
  <si>
    <t>WTT (incl. credits)</t>
  </si>
  <si>
    <t>WTT (excl. credits)</t>
  </si>
  <si>
    <t>WTW (incl. credits)</t>
  </si>
  <si>
    <t>WTW (excl. credits)</t>
  </si>
  <si>
    <t>Blend fuel</t>
  </si>
  <si>
    <t>Blend fraction</t>
  </si>
  <si>
    <t>LCV fossil</t>
  </si>
  <si>
    <t>WTT fossil</t>
  </si>
  <si>
    <t>TTW fossil</t>
  </si>
  <si>
    <t>LCV alternative</t>
  </si>
  <si>
    <t>WTT alternative (incl. credits)</t>
  </si>
  <si>
    <t>WTT alternative (excl. credits)</t>
  </si>
  <si>
    <t>TTW alternative</t>
  </si>
  <si>
    <t>LCV blend</t>
  </si>
  <si>
    <t>WTT blend (incl. credits)</t>
  </si>
  <si>
    <t>WTT blend (excl. credits)</t>
  </si>
  <si>
    <t>TTW blend</t>
  </si>
  <si>
    <t>gCO2eq/MJ</t>
  </si>
  <si>
    <t>tonne/tonne</t>
  </si>
  <si>
    <t>Fuel Type 1</t>
  </si>
  <si>
    <t>Fuel Type 2</t>
  </si>
  <si>
    <t>Fuel Type 3</t>
  </si>
  <si>
    <t>Fuel Type 4</t>
  </si>
  <si>
    <t>Total EACs Vol / Comp</t>
  </si>
  <si>
    <t>EACs (Vol)</t>
  </si>
  <si>
    <t>EACs (Comp)</t>
  </si>
  <si>
    <t>EU ETS fuel used in vol (Tonne)</t>
  </si>
  <si>
    <t>SMF used to comply with FuelEU (Tonne)</t>
  </si>
  <si>
    <t>Leg 1</t>
  </si>
  <si>
    <t>Leg 2</t>
  </si>
  <si>
    <t>Leg 3</t>
  </si>
  <si>
    <t>Leg 4</t>
  </si>
  <si>
    <t>Leg 5</t>
  </si>
  <si>
    <t>Leg 6</t>
  </si>
  <si>
    <t>Leg 7</t>
  </si>
  <si>
    <t>Leg 8</t>
  </si>
  <si>
    <t>Leg 9</t>
  </si>
  <si>
    <t>Leg 10</t>
  </si>
  <si>
    <t>Leg 11</t>
  </si>
  <si>
    <t>Leg 12</t>
  </si>
  <si>
    <t>Leg 13</t>
  </si>
  <si>
    <t>Leg 14</t>
  </si>
  <si>
    <t>Leg 15</t>
  </si>
  <si>
    <t>Leg 16</t>
  </si>
  <si>
    <t>Leg 17</t>
  </si>
  <si>
    <t>Leg 18</t>
  </si>
  <si>
    <t>Leg 19</t>
  </si>
  <si>
    <t>Leg 20</t>
  </si>
  <si>
    <t>Alternative fuel 1</t>
  </si>
  <si>
    <t>Fuel Consumption (Tonne)</t>
  </si>
  <si>
    <t>Energy (MJ)</t>
  </si>
  <si>
    <t>Energy (TJ)</t>
  </si>
  <si>
    <t>SMF used under EU ETS (Tonne)</t>
  </si>
  <si>
    <t>SMF used under EU ETS (TJ)</t>
  </si>
  <si>
    <t>SMF used to comply with FuelEU (TJ)</t>
  </si>
  <si>
    <t>Alternative fuel 2</t>
  </si>
  <si>
    <t>Alternative fuel 3</t>
  </si>
  <si>
    <t>Alternative fuel 4</t>
  </si>
  <si>
    <t>Transport Work Calculation</t>
  </si>
  <si>
    <t>Step 1) Calculate transport work leg by leg</t>
  </si>
  <si>
    <t>Distance</t>
  </si>
  <si>
    <t>Cargo</t>
  </si>
  <si>
    <t>Transport Work</t>
  </si>
  <si>
    <t>Total</t>
  </si>
  <si>
    <t>Step 2) Calculate energy consumed by fuel type (already done in EAC calc)</t>
  </si>
  <si>
    <t>Energy Consumed</t>
  </si>
  <si>
    <t>% Allocation</t>
  </si>
  <si>
    <t>Total Energy</t>
  </si>
  <si>
    <t>Summary of checks</t>
  </si>
  <si>
    <t>Consumed (positive values)</t>
  </si>
  <si>
    <t>Arrival &gt; departure</t>
  </si>
  <si>
    <t>Departure &gt; previous arrival</t>
  </si>
  <si>
    <t>Departure (date format)</t>
  </si>
  <si>
    <t>Arrival (date format)</t>
  </si>
  <si>
    <t>Total cargo (positive values)</t>
  </si>
  <si>
    <t>Total cargo &lt;= Capacity</t>
  </si>
  <si>
    <t>Port names</t>
  </si>
  <si>
    <t>Fuel controls</t>
  </si>
  <si>
    <t>Consumed</t>
  </si>
  <si>
    <t>Fuel type 1</t>
  </si>
  <si>
    <t>Fuel type 2</t>
  </si>
  <si>
    <t>Fuel type 3</t>
  </si>
  <si>
    <t>Fuel type 4</t>
  </si>
  <si>
    <t>Date controls</t>
  </si>
  <si>
    <t>Dates</t>
  </si>
  <si>
    <t>Departure</t>
  </si>
  <si>
    <t>Arrival</t>
  </si>
  <si>
    <t>Is date with format day before month</t>
  </si>
  <si>
    <t>Arrival &gt;= departure</t>
  </si>
  <si>
    <t>Departure &gt;= previous arrival</t>
  </si>
  <si>
    <t>Cargo controls</t>
  </si>
  <si>
    <t>Cargo carried</t>
  </si>
  <si>
    <t>Total cargo</t>
  </si>
  <si>
    <t>Port controls</t>
  </si>
  <si>
    <t>Departure = arrival</t>
  </si>
  <si>
    <t>Choose baseline from drop down</t>
  </si>
  <si>
    <t>Scope of emissions</t>
  </si>
  <si>
    <t>EACs</t>
  </si>
  <si>
    <t xml:space="preserve">Total EACs </t>
  </si>
  <si>
    <t>Voluntary EACs</t>
  </si>
  <si>
    <t>Compliance EACs</t>
  </si>
  <si>
    <t>SMF used under regulatory schemes</t>
  </si>
  <si>
    <t>Amount SMF used under EU ETS (Vol EACs only)</t>
  </si>
  <si>
    <t>Tonnes</t>
  </si>
  <si>
    <t>Amount SMF used to comply with FuelEU</t>
  </si>
  <si>
    <t>Emission Savings (incl. credits)</t>
  </si>
  <si>
    <t>Emission Savings</t>
  </si>
  <si>
    <t>Tonnes CO2eq</t>
  </si>
  <si>
    <t>Emission Savings (excl. credits)</t>
  </si>
  <si>
    <t>KPIs by Fuel Type (incl. credits)</t>
  </si>
  <si>
    <t>Voyage KPIs</t>
  </si>
  <si>
    <t>Energy</t>
  </si>
  <si>
    <t>Emissions</t>
  </si>
  <si>
    <t>Emission intensity</t>
  </si>
  <si>
    <t>Transport work</t>
  </si>
  <si>
    <t>Transport work intensity</t>
  </si>
  <si>
    <t xml:space="preserve">Energy efficiency </t>
  </si>
  <si>
    <t>KPIs by Fuel Type (excl. credits)</t>
  </si>
  <si>
    <t>Vintage Period</t>
  </si>
  <si>
    <t>EAC Vintage period (FF)</t>
  </si>
  <si>
    <t>Voyage complete</t>
  </si>
  <si>
    <t>EAC Vintage period (CO)</t>
  </si>
  <si>
    <t>End of year</t>
  </si>
  <si>
    <t>Calc Summary (Expand for detailed breakdown and references to manual appendixes)</t>
  </si>
  <si>
    <t>Calculations</t>
  </si>
  <si>
    <t>Vol split per EAC</t>
  </si>
  <si>
    <t>vol</t>
  </si>
  <si>
    <t>Fossil Baseline of Reference Intensity</t>
  </si>
  <si>
    <t>Compliance</t>
  </si>
  <si>
    <t>Amount SMF used under EU ETS</t>
  </si>
  <si>
    <t>Calc transfers/retirement/assignment (for internal use of Katalist and EWF for testing)</t>
  </si>
  <si>
    <t>Include credits?</t>
  </si>
  <si>
    <t>N</t>
  </si>
  <si>
    <t>Baseline selected</t>
  </si>
  <si>
    <t>Transport work options</t>
  </si>
  <si>
    <t>SMF</t>
  </si>
  <si>
    <t>Max available to be transferred</t>
  </si>
  <si>
    <t>Emission savings (MT CO2eq)</t>
  </si>
  <si>
    <t>How much do you want to transfer/assigned/retired</t>
  </si>
  <si>
    <t>Check</t>
  </si>
  <si>
    <t>Values to be displayed</t>
  </si>
  <si>
    <t>Emission intensity (incl. credits)</t>
  </si>
  <si>
    <t>Emission intensity (excl. credits)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</si>
</sst>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0.0"/>
    <numFmt numFmtId="166" formatCode="dd\-mm\-yyyy\ hh:mm;@"/>
    <numFmt numFmtId="167" formatCode="0.0000"/>
    <numFmt numFmtId="168" formatCode="dd\-mm\-yy\ hh\.mm;@"/>
    <numFmt numFmtId="169" formatCode="dd\-mm\-yyyy\ hh\.mm;@"/>
    <numFmt numFmtId="170" formatCode="[$-409]d\-mmm\-yy;@"/>
    <numFmt numFmtId="171" formatCode="0.000"/>
    <numFmt numFmtId="172" formatCode="_-* #,##0.000_-;\-* #,##0.000_-;_-* &quot;-&quot;??_-;_-@_-"/>
    <numFmt numFmtId="173" formatCode="_-* #,##0_-;\-* #,##0_-;_-* &quot;-&quot;??_-;_-@_-"/>
    <numFmt numFmtId="174" formatCode="_-* #,##0.00\ _k_r_._-;\-* #,##0.00\ _k_r_._-;_-* &quot;-&quot;??\ _k_r_._-;_-@_-"/>
    <numFmt numFmtId="175" formatCode="dd\-mm\-yyyy;@"/>
    <numFmt numFmtId="176" formatCode="_-* #,##0.0000_-;\-* #,##0.0000_-;_-* &quot;-&quot;??_-;_-@_-"/>
  </numFmts>
  <fonts count="39">
    <font>
      <sz val="11"/>
      <color theme="1"/>
      <name val="Aptos Narrow"/>
      <family val="2"/>
      <scheme val="minor"/>
    </font>
    <font>
      <sz val="12"/>
      <color theme="1"/>
      <name val="Aptos Narrow"/>
      <family val="2"/>
      <scheme val="minor"/>
    </font>
    <font>
      <b/>
      <sz val="11"/>
      <color theme="1"/>
      <name val="Aptos Narrow"/>
      <family val="2"/>
      <scheme val="minor"/>
    </font>
    <font>
      <sz val="10"/>
      <color theme="1"/>
      <name val="Barlow"/>
      <family val="2"/>
    </font>
    <font>
      <u/>
      <sz val="11"/>
      <color theme="10"/>
      <name val="Aptos Narrow"/>
      <family val="2"/>
      <scheme val="minor"/>
    </font>
    <font>
      <sz val="8"/>
      <name val="Aptos Narrow"/>
      <family val="2"/>
      <scheme val="minor"/>
    </font>
    <font>
      <sz val="12"/>
      <color theme="1"/>
      <name val="Aptos Narrow"/>
      <family val="2"/>
      <scheme val="minor"/>
    </font>
    <font>
      <sz val="11"/>
      <color theme="1"/>
      <name val="Aptos Narrow"/>
      <family val="2"/>
      <scheme val="minor"/>
    </font>
    <font>
      <sz val="11"/>
      <color theme="1"/>
      <name val="Geist"/>
      <family val="3"/>
    </font>
    <font>
      <b/>
      <sz val="11"/>
      <color theme="1"/>
      <name val="Geist"/>
      <family val="3"/>
    </font>
    <font>
      <sz val="11"/>
      <name val="Geist"/>
      <family val="3"/>
    </font>
    <font>
      <vertAlign val="subscript"/>
      <sz val="11"/>
      <color theme="1"/>
      <name val="Geist"/>
      <family val="3"/>
    </font>
    <font>
      <b/>
      <sz val="12"/>
      <color theme="1"/>
      <name val="Geist"/>
      <family val="3"/>
    </font>
    <font>
      <b/>
      <sz val="16"/>
      <color theme="0"/>
      <name val="Cabinet Grotesk Medium"/>
      <family val="3"/>
    </font>
    <font>
      <b/>
      <sz val="11"/>
      <color rgb="FFFF0000"/>
      <name val="Aptos Narrow"/>
      <family val="2"/>
      <scheme val="minor"/>
    </font>
    <font>
      <sz val="11"/>
      <color rgb="FF000000"/>
      <name val="Geist"/>
      <family val="3"/>
    </font>
    <font>
      <b/>
      <sz val="26"/>
      <color theme="1"/>
      <name val="Geist"/>
      <family val="3"/>
    </font>
    <font>
      <b/>
      <sz val="14"/>
      <color theme="1"/>
      <name val="Geist"/>
      <family val="3"/>
    </font>
    <font>
      <b/>
      <sz val="11"/>
      <name val="Geist"/>
      <family val="3"/>
    </font>
    <font>
      <b/>
      <sz val="14"/>
      <color theme="0"/>
      <name val="Geist"/>
      <family val="3"/>
    </font>
    <font>
      <sz val="10"/>
      <color theme="1"/>
      <name val="Geist"/>
      <family val="3"/>
    </font>
    <font>
      <b/>
      <sz val="10"/>
      <color theme="1"/>
      <name val="Geist"/>
      <family val="3"/>
    </font>
    <font>
      <b/>
      <i/>
      <sz val="9"/>
      <color rgb="FFC00000"/>
      <name val="Geist"/>
      <family val="3"/>
    </font>
    <font>
      <b/>
      <u/>
      <sz val="11"/>
      <color theme="1"/>
      <name val="Geist"/>
      <family val="3"/>
    </font>
    <font>
      <sz val="12"/>
      <color indexed="8"/>
      <name val="Geist"/>
      <family val="3"/>
    </font>
    <font>
      <sz val="12"/>
      <color theme="1"/>
      <name val="Geist"/>
      <family val="3"/>
    </font>
    <font>
      <sz val="10"/>
      <name val="Geist"/>
      <family val="3"/>
    </font>
    <font>
      <i/>
      <sz val="10"/>
      <name val="Geist"/>
      <family val="3"/>
    </font>
    <font>
      <b/>
      <i/>
      <sz val="12"/>
      <color theme="1"/>
      <name val="Geist"/>
      <family val="3"/>
    </font>
    <font>
      <sz val="12"/>
      <color indexed="81"/>
      <name val="Geist"/>
      <family val="3"/>
    </font>
    <font>
      <i/>
      <sz val="10"/>
      <color theme="1"/>
      <name val="Geist"/>
      <family val="3"/>
    </font>
    <font>
      <i/>
      <sz val="9"/>
      <color theme="1"/>
      <name val="Geist"/>
      <family val="3"/>
    </font>
    <font>
      <sz val="11"/>
      <color rgb="FF11374C"/>
      <name val="Geist"/>
      <family val="3"/>
    </font>
    <font>
      <sz val="10"/>
      <color rgb="FFFF0000"/>
      <name val="Geist"/>
      <family val="3"/>
    </font>
    <font>
      <i/>
      <sz val="10"/>
      <color rgb="FFFF0000"/>
      <name val="Geist"/>
      <family val="3"/>
    </font>
    <font>
      <b/>
      <i/>
      <sz val="11"/>
      <color theme="1"/>
      <name val="Geist"/>
      <family val="3"/>
    </font>
    <font>
      <sz val="11"/>
      <color rgb="FFFF0000"/>
      <name val="Geist"/>
      <family val="3"/>
    </font>
    <font>
      <b/>
      <sz val="12"/>
      <color theme="0" tint="-4.9989318521683403E-2"/>
      <name val="Geist"/>
      <family val="3"/>
    </font>
    <font>
      <b/>
      <sz val="10"/>
      <color theme="1"/>
      <name val="Geist"/>
    </font>
  </fonts>
  <fills count="20">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rgb="FF11374C"/>
        <bgColor indexed="64"/>
      </patternFill>
    </fill>
    <fill>
      <patternFill patternType="solid">
        <fgColor rgb="FF3A7697"/>
        <bgColor indexed="64"/>
      </patternFill>
    </fill>
    <fill>
      <patternFill patternType="solid">
        <fgColor rgb="FF9DBBCB"/>
        <bgColor indexed="64"/>
      </patternFill>
    </fill>
    <fill>
      <patternFill patternType="solid">
        <fgColor rgb="FFE1EFF2"/>
        <bgColor indexed="64"/>
      </patternFill>
    </fill>
    <fill>
      <patternFill patternType="solid">
        <fgColor rgb="FFFFF493"/>
        <bgColor indexed="64"/>
      </patternFill>
    </fill>
    <fill>
      <patternFill patternType="solid">
        <fgColor rgb="FFFFA5FB"/>
        <bgColor indexed="64"/>
      </patternFill>
    </fill>
    <fill>
      <patternFill patternType="solid">
        <fgColor rgb="FFFFD5FD"/>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rgb="FFFFFDE8"/>
        <bgColor rgb="FF000000"/>
      </patternFill>
    </fill>
    <fill>
      <patternFill patternType="solid">
        <fgColor theme="9" tint="0.79998168889431442"/>
        <bgColor rgb="FF000000"/>
      </patternFill>
    </fill>
    <fill>
      <patternFill patternType="solid">
        <fgColor theme="6" tint="0.79998168889431442"/>
        <bgColor indexed="64"/>
      </patternFill>
    </fill>
  </fills>
  <borders count="93">
    <border>
      <left/>
      <right/>
      <top/>
      <bottom/>
      <diagonal/>
    </border>
    <border>
      <left/>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hair">
        <color indexed="64"/>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hair">
        <color indexed="64"/>
      </right>
      <top/>
      <bottom style="thin">
        <color indexed="64"/>
      </bottom>
      <diagonal/>
    </border>
    <border>
      <left/>
      <right/>
      <top style="thin">
        <color indexed="64"/>
      </top>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top style="thin">
        <color indexed="64"/>
      </top>
      <bottom style="hair">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8">
    <xf numFmtId="0" fontId="0" fillId="0" borderId="0"/>
    <xf numFmtId="0" fontId="3" fillId="0" borderId="0"/>
    <xf numFmtId="0" fontId="4" fillId="0" borderId="0" applyNumberFormat="0" applyFill="0" applyBorder="0" applyAlignment="0" applyProtection="0"/>
    <xf numFmtId="0" fontId="6" fillId="0" borderId="0"/>
    <xf numFmtId="0" fontId="7" fillId="0" borderId="0"/>
    <xf numFmtId="0" fontId="1" fillId="0" borderId="0"/>
    <xf numFmtId="9" fontId="7" fillId="0" borderId="0" applyFont="0" applyFill="0" applyBorder="0" applyAlignment="0" applyProtection="0"/>
    <xf numFmtId="43" fontId="7" fillId="0" borderId="0" applyFont="0" applyFill="0" applyBorder="0" applyAlignment="0" applyProtection="0"/>
  </cellStyleXfs>
  <cellXfs count="429">
    <xf numFmtId="0" fontId="0" fillId="0" borderId="0" xfId="0"/>
    <xf numFmtId="0" fontId="0" fillId="0" borderId="0" xfId="0" applyAlignment="1">
      <alignment wrapText="1"/>
    </xf>
    <xf numFmtId="0" fontId="0" fillId="0" borderId="0" xfId="0" applyAlignment="1">
      <alignment horizontal="left"/>
    </xf>
    <xf numFmtId="0" fontId="2" fillId="0" borderId="0" xfId="0" applyFont="1" applyAlignment="1">
      <alignment wrapText="1"/>
    </xf>
    <xf numFmtId="0" fontId="8" fillId="0" borderId="0" xfId="0" applyFont="1" applyAlignment="1">
      <alignment wrapText="1"/>
    </xf>
    <xf numFmtId="0" fontId="9" fillId="0" borderId="0" xfId="0" applyFont="1" applyAlignment="1">
      <alignment wrapText="1"/>
    </xf>
    <xf numFmtId="0" fontId="13" fillId="4" borderId="6" xfId="0" applyFont="1" applyFill="1" applyBorder="1" applyAlignment="1">
      <alignment horizontal="left" vertical="center" wrapText="1"/>
    </xf>
    <xf numFmtId="0" fontId="13" fillId="4" borderId="10"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5" borderId="7" xfId="0" applyFont="1" applyFill="1" applyBorder="1" applyAlignment="1">
      <alignment vertical="center" wrapText="1"/>
    </xf>
    <xf numFmtId="0" fontId="12" fillId="5" borderId="9" xfId="0" applyFont="1" applyFill="1" applyBorder="1" applyAlignment="1">
      <alignment vertical="center" wrapText="1"/>
    </xf>
    <xf numFmtId="0" fontId="12" fillId="5" borderId="8" xfId="0" applyFont="1" applyFill="1" applyBorder="1" applyAlignment="1">
      <alignment vertical="center" wrapText="1"/>
    </xf>
    <xf numFmtId="0" fontId="12" fillId="6" borderId="7" xfId="0" applyFont="1" applyFill="1" applyBorder="1" applyAlignment="1">
      <alignment vertical="center" wrapText="1"/>
    </xf>
    <xf numFmtId="0" fontId="12" fillId="6" borderId="9" xfId="0" applyFont="1" applyFill="1" applyBorder="1" applyAlignment="1">
      <alignment vertical="center" wrapText="1"/>
    </xf>
    <xf numFmtId="0" fontId="12" fillId="6" borderId="8" xfId="0" applyFont="1" applyFill="1" applyBorder="1" applyAlignment="1">
      <alignment vertical="center" wrapText="1"/>
    </xf>
    <xf numFmtId="0" fontId="12" fillId="7" borderId="7" xfId="0" applyFont="1" applyFill="1" applyBorder="1" applyAlignment="1">
      <alignment vertical="center" wrapText="1"/>
    </xf>
    <xf numFmtId="0" fontId="12" fillId="7" borderId="9" xfId="0" applyFont="1" applyFill="1" applyBorder="1" applyAlignment="1">
      <alignment vertical="center" wrapText="1"/>
    </xf>
    <xf numFmtId="0" fontId="12" fillId="7" borderId="8" xfId="0" applyFont="1" applyFill="1" applyBorder="1" applyAlignment="1">
      <alignment vertical="center" wrapText="1"/>
    </xf>
    <xf numFmtId="0" fontId="12" fillId="8" borderId="7" xfId="0" applyFont="1" applyFill="1" applyBorder="1" applyAlignment="1">
      <alignment vertical="center" wrapText="1"/>
    </xf>
    <xf numFmtId="0" fontId="12" fillId="8" borderId="8" xfId="0" applyFont="1" applyFill="1" applyBorder="1" applyAlignment="1">
      <alignment vertical="center" wrapText="1"/>
    </xf>
    <xf numFmtId="0" fontId="12" fillId="9" borderId="7" xfId="0" applyFont="1" applyFill="1" applyBorder="1" applyAlignment="1">
      <alignment vertical="center" wrapText="1"/>
    </xf>
    <xf numFmtId="0" fontId="12" fillId="9" borderId="9" xfId="0" applyFont="1" applyFill="1" applyBorder="1" applyAlignment="1">
      <alignment vertical="center" wrapText="1"/>
    </xf>
    <xf numFmtId="0" fontId="12" fillId="9" borderId="8" xfId="0" applyFont="1" applyFill="1" applyBorder="1" applyAlignment="1">
      <alignment vertical="center" wrapText="1"/>
    </xf>
    <xf numFmtId="0" fontId="8" fillId="0" borderId="6" xfId="0" applyFont="1" applyBorder="1" applyAlignment="1">
      <alignment horizontal="left" vertical="center" wrapText="1"/>
    </xf>
    <xf numFmtId="0" fontId="10" fillId="0" borderId="6" xfId="0" applyFont="1" applyBorder="1" applyAlignment="1">
      <alignment horizontal="left" vertical="center" wrapText="1"/>
    </xf>
    <xf numFmtId="0" fontId="12" fillId="10" borderId="11" xfId="0" applyFont="1" applyFill="1" applyBorder="1" applyAlignment="1">
      <alignment vertical="center" wrapText="1"/>
    </xf>
    <xf numFmtId="0" fontId="12" fillId="10" borderId="12" xfId="0" applyFont="1" applyFill="1" applyBorder="1" applyAlignment="1">
      <alignment vertical="center" wrapText="1"/>
    </xf>
    <xf numFmtId="0" fontId="12" fillId="10" borderId="2" xfId="0" applyFont="1" applyFill="1" applyBorder="1" applyAlignment="1">
      <alignment vertical="center" wrapText="1"/>
    </xf>
    <xf numFmtId="0" fontId="8" fillId="0" borderId="7" xfId="0" applyFont="1" applyBorder="1" applyAlignment="1">
      <alignment horizontal="left" vertical="center" wrapText="1"/>
    </xf>
    <xf numFmtId="0" fontId="8" fillId="0" borderId="0" xfId="0" applyFont="1"/>
    <xf numFmtId="0" fontId="8" fillId="11" borderId="0" xfId="0" applyFont="1" applyFill="1"/>
    <xf numFmtId="0" fontId="9" fillId="3" borderId="0" xfId="0" applyFont="1" applyFill="1"/>
    <xf numFmtId="2" fontId="8" fillId="0" borderId="6" xfId="0" applyNumberFormat="1" applyFont="1" applyBorder="1" applyAlignment="1">
      <alignment horizontal="center"/>
    </xf>
    <xf numFmtId="2" fontId="8" fillId="0" borderId="18" xfId="0" applyNumberFormat="1" applyFont="1" applyBorder="1" applyAlignment="1">
      <alignment horizontal="center"/>
    </xf>
    <xf numFmtId="0" fontId="19" fillId="12" borderId="1" xfId="0" applyFont="1" applyFill="1" applyBorder="1" applyAlignment="1">
      <alignment vertical="center"/>
    </xf>
    <xf numFmtId="0" fontId="9" fillId="0" borderId="0" xfId="0" applyFont="1"/>
    <xf numFmtId="0" fontId="20" fillId="0" borderId="0" xfId="0" applyFont="1"/>
    <xf numFmtId="0" fontId="21" fillId="3" borderId="13"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0" fillId="2" borderId="14" xfId="0" applyFont="1" applyFill="1" applyBorder="1" applyAlignment="1">
      <alignment horizontal="center" vertical="center"/>
    </xf>
    <xf numFmtId="2" fontId="8" fillId="0" borderId="13" xfId="0" applyNumberFormat="1" applyFont="1" applyBorder="1" applyAlignment="1">
      <alignment horizontal="center"/>
    </xf>
    <xf numFmtId="0" fontId="8" fillId="0" borderId="6" xfId="0" applyFont="1" applyBorder="1" applyAlignment="1">
      <alignment horizontal="center"/>
    </xf>
    <xf numFmtId="0" fontId="8" fillId="0" borderId="14" xfId="0" applyFont="1" applyBorder="1" applyAlignment="1">
      <alignment horizontal="center"/>
    </xf>
    <xf numFmtId="2" fontId="8" fillId="0" borderId="17"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22" fillId="0" borderId="0" xfId="0" applyFont="1" applyAlignment="1">
      <alignment horizontal="left" vertical="top"/>
    </xf>
    <xf numFmtId="0" fontId="8" fillId="0" borderId="12" xfId="0" applyFont="1" applyBorder="1"/>
    <xf numFmtId="0" fontId="8" fillId="0" borderId="2" xfId="0" applyFont="1" applyBorder="1"/>
    <xf numFmtId="0" fontId="8" fillId="0" borderId="3" xfId="0" applyFont="1" applyBorder="1"/>
    <xf numFmtId="0" fontId="8" fillId="0" borderId="0" xfId="0" applyFont="1" applyAlignment="1">
      <alignment horizontal="center"/>
    </xf>
    <xf numFmtId="0" fontId="9" fillId="11" borderId="0" xfId="0" applyFont="1" applyFill="1"/>
    <xf numFmtId="0" fontId="8" fillId="0" borderId="7" xfId="0" applyFont="1" applyBorder="1" applyAlignment="1">
      <alignment horizontal="center"/>
    </xf>
    <xf numFmtId="2" fontId="8" fillId="0" borderId="0" xfId="0" applyNumberFormat="1" applyFont="1"/>
    <xf numFmtId="0" fontId="9" fillId="0" borderId="0" xfId="0" applyFont="1" applyAlignment="1">
      <alignment horizontal="centerContinuous"/>
    </xf>
    <xf numFmtId="0" fontId="8" fillId="0" borderId="0" xfId="0" applyFont="1" applyAlignment="1">
      <alignment horizontal="centerContinuous"/>
    </xf>
    <xf numFmtId="167" fontId="8" fillId="0" borderId="0" xfId="0" applyNumberFormat="1" applyFont="1"/>
    <xf numFmtId="0" fontId="8" fillId="3" borderId="0" xfId="0" applyFont="1" applyFill="1"/>
    <xf numFmtId="9" fontId="8" fillId="3" borderId="0" xfId="6" applyFont="1" applyFill="1"/>
    <xf numFmtId="0" fontId="8" fillId="0" borderId="11" xfId="0" applyFont="1" applyBorder="1"/>
    <xf numFmtId="3" fontId="8" fillId="0" borderId="7" xfId="0" applyNumberFormat="1" applyFont="1" applyBorder="1" applyAlignment="1">
      <alignment horizontal="center"/>
    </xf>
    <xf numFmtId="3" fontId="8" fillId="0" borderId="9" xfId="0" applyNumberFormat="1" applyFont="1" applyBorder="1" applyAlignment="1">
      <alignment horizontal="center"/>
    </xf>
    <xf numFmtId="0" fontId="9" fillId="0" borderId="4" xfId="0" applyFont="1" applyBorder="1"/>
    <xf numFmtId="3" fontId="9" fillId="0" borderId="6" xfId="0" applyNumberFormat="1" applyFont="1" applyBorder="1" applyAlignment="1">
      <alignment horizontal="center"/>
    </xf>
    <xf numFmtId="0" fontId="8" fillId="0" borderId="4" xfId="0" applyFont="1" applyBorder="1" applyAlignment="1">
      <alignment horizontal="center"/>
    </xf>
    <xf numFmtId="9" fontId="8" fillId="0" borderId="9" xfId="6" applyFont="1" applyBorder="1" applyAlignment="1">
      <alignment horizontal="center"/>
    </xf>
    <xf numFmtId="0" fontId="9" fillId="0" borderId="10" xfId="0" applyFont="1" applyBorder="1"/>
    <xf numFmtId="168" fontId="8" fillId="0" borderId="0" xfId="0" applyNumberFormat="1" applyFont="1" applyAlignment="1">
      <alignment horizontal="center" vertical="center"/>
    </xf>
    <xf numFmtId="0" fontId="8" fillId="0" borderId="0" xfId="0" applyFont="1" applyAlignment="1">
      <alignment horizontal="right"/>
    </xf>
    <xf numFmtId="166" fontId="8" fillId="0" borderId="0" xfId="0" applyNumberFormat="1" applyFont="1"/>
    <xf numFmtId="3" fontId="8" fillId="0" borderId="0" xfId="0" applyNumberFormat="1" applyFont="1"/>
    <xf numFmtId="0" fontId="14" fillId="11" borderId="0" xfId="0" applyFont="1" applyFill="1" applyAlignment="1">
      <alignment wrapText="1"/>
    </xf>
    <xf numFmtId="0" fontId="24" fillId="0" borderId="0" xfId="0" applyFont="1" applyAlignment="1" applyProtection="1">
      <alignment vertical="center"/>
      <protection locked="0"/>
    </xf>
    <xf numFmtId="0" fontId="25" fillId="0" borderId="0" xfId="0" applyFont="1"/>
    <xf numFmtId="0" fontId="15" fillId="0" borderId="0" xfId="0" applyFont="1"/>
    <xf numFmtId="0" fontId="8" fillId="0" borderId="3" xfId="0" applyFont="1" applyBorder="1" applyAlignment="1">
      <alignment wrapText="1"/>
    </xf>
    <xf numFmtId="2" fontId="8" fillId="0" borderId="63" xfId="0" applyNumberFormat="1" applyFont="1" applyBorder="1" applyAlignment="1">
      <alignment horizontal="center"/>
    </xf>
    <xf numFmtId="2" fontId="8" fillId="0" borderId="7" xfId="0" applyNumberFormat="1" applyFont="1" applyBorder="1" applyAlignment="1">
      <alignment horizontal="center"/>
    </xf>
    <xf numFmtId="0" fontId="8" fillId="0" borderId="64" xfId="0" applyFont="1" applyBorder="1" applyAlignment="1">
      <alignment horizontal="center"/>
    </xf>
    <xf numFmtId="0" fontId="8" fillId="2" borderId="35" xfId="0" applyFont="1" applyFill="1" applyBorder="1" applyAlignment="1" applyProtection="1">
      <alignment horizontal="center"/>
      <protection locked="0"/>
    </xf>
    <xf numFmtId="0" fontId="8" fillId="2" borderId="34" xfId="0" applyFont="1" applyFill="1" applyBorder="1" applyAlignment="1" applyProtection="1">
      <alignment horizontal="center"/>
      <protection locked="0"/>
    </xf>
    <xf numFmtId="0" fontId="8" fillId="2" borderId="48" xfId="0" applyFont="1" applyFill="1" applyBorder="1" applyAlignment="1" applyProtection="1">
      <alignment horizontal="center"/>
      <protection locked="0"/>
    </xf>
    <xf numFmtId="0" fontId="9" fillId="2" borderId="37" xfId="0" applyFont="1" applyFill="1" applyBorder="1"/>
    <xf numFmtId="0" fontId="8" fillId="13" borderId="28" xfId="0" applyFont="1" applyFill="1" applyBorder="1" applyAlignment="1">
      <alignment horizontal="center" vertical="center"/>
    </xf>
    <xf numFmtId="0" fontId="8" fillId="13" borderId="29" xfId="0" applyFont="1" applyFill="1" applyBorder="1" applyAlignment="1">
      <alignment horizontal="center" vertical="center"/>
    </xf>
    <xf numFmtId="0" fontId="8" fillId="0" borderId="12" xfId="0" applyFont="1" applyBorder="1" applyAlignment="1">
      <alignment horizontal="center" vertical="center" wrapText="1"/>
    </xf>
    <xf numFmtId="0" fontId="8" fillId="0" borderId="49" xfId="0" applyFont="1" applyBorder="1" applyAlignment="1">
      <alignment horizontal="center" vertical="center"/>
    </xf>
    <xf numFmtId="0" fontId="8" fillId="0" borderId="1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49" xfId="0" applyFont="1" applyBorder="1" applyAlignment="1">
      <alignment horizontal="center"/>
    </xf>
    <xf numFmtId="0" fontId="8" fillId="2" borderId="46" xfId="0" applyFont="1" applyFill="1" applyBorder="1" applyAlignment="1">
      <alignment horizontal="center"/>
    </xf>
    <xf numFmtId="0" fontId="8" fillId="2" borderId="33" xfId="0" applyFont="1" applyFill="1" applyBorder="1" applyAlignment="1">
      <alignment horizontal="center"/>
    </xf>
    <xf numFmtId="166" fontId="8" fillId="2" borderId="33" xfId="0" applyNumberFormat="1" applyFont="1" applyFill="1" applyBorder="1" applyAlignment="1">
      <alignment horizontal="center" vertical="center"/>
    </xf>
    <xf numFmtId="169" fontId="8" fillId="2" borderId="33" xfId="0" applyNumberFormat="1" applyFont="1" applyFill="1" applyBorder="1" applyAlignment="1">
      <alignment horizontal="center" vertical="center"/>
    </xf>
    <xf numFmtId="0" fontId="8" fillId="2" borderId="41" xfId="0" applyFont="1" applyFill="1" applyBorder="1" applyAlignment="1">
      <alignment horizontal="center"/>
    </xf>
    <xf numFmtId="4" fontId="8" fillId="2" borderId="33" xfId="0" applyNumberFormat="1" applyFont="1" applyFill="1" applyBorder="1" applyAlignment="1">
      <alignment horizontal="center"/>
    </xf>
    <xf numFmtId="4" fontId="8" fillId="2" borderId="41" xfId="0" applyNumberFormat="1" applyFont="1" applyFill="1" applyBorder="1" applyAlignment="1">
      <alignment horizontal="center"/>
    </xf>
    <xf numFmtId="3" fontId="8" fillId="2" borderId="40" xfId="0" applyNumberFormat="1" applyFont="1" applyFill="1" applyBorder="1" applyAlignment="1">
      <alignment horizontal="center"/>
    </xf>
    <xf numFmtId="0" fontId="8" fillId="2" borderId="36" xfId="0" applyFont="1" applyFill="1" applyBorder="1" applyAlignment="1">
      <alignment horizontal="center"/>
    </xf>
    <xf numFmtId="4" fontId="8" fillId="2" borderId="34" xfId="0" applyNumberFormat="1" applyFont="1" applyFill="1" applyBorder="1" applyAlignment="1">
      <alignment horizontal="center"/>
    </xf>
    <xf numFmtId="0" fontId="16" fillId="0" borderId="53" xfId="0" applyFont="1" applyBorder="1" applyAlignment="1">
      <alignment vertical="center"/>
    </xf>
    <xf numFmtId="169" fontId="8" fillId="2" borderId="34" xfId="0" applyNumberFormat="1" applyFont="1" applyFill="1" applyBorder="1" applyAlignment="1">
      <alignment horizontal="center" vertical="center"/>
    </xf>
    <xf numFmtId="0" fontId="8" fillId="0" borderId="52" xfId="0" applyFont="1" applyBorder="1" applyAlignment="1">
      <alignment horizontal="center"/>
    </xf>
    <xf numFmtId="0" fontId="16" fillId="0" borderId="54" xfId="0" applyFont="1" applyBorder="1" applyAlignment="1">
      <alignment vertical="center"/>
    </xf>
    <xf numFmtId="169" fontId="8" fillId="2" borderId="48" xfId="0" applyNumberFormat="1" applyFont="1" applyFill="1" applyBorder="1" applyAlignment="1">
      <alignment horizontal="center" vertical="center"/>
    </xf>
    <xf numFmtId="0" fontId="8" fillId="2" borderId="43" xfId="0" applyFont="1" applyFill="1" applyBorder="1" applyAlignment="1">
      <alignment horizontal="center"/>
    </xf>
    <xf numFmtId="166" fontId="8" fillId="2" borderId="43" xfId="0" applyNumberFormat="1" applyFont="1" applyFill="1" applyBorder="1" applyAlignment="1">
      <alignment horizontal="center" vertical="center"/>
    </xf>
    <xf numFmtId="169" fontId="8" fillId="2" borderId="43" xfId="0" applyNumberFormat="1" applyFont="1" applyFill="1" applyBorder="1" applyAlignment="1">
      <alignment horizontal="center" vertical="center"/>
    </xf>
    <xf numFmtId="0" fontId="8" fillId="2" borderId="44" xfId="0" applyFont="1" applyFill="1" applyBorder="1" applyAlignment="1">
      <alignment horizontal="center"/>
    </xf>
    <xf numFmtId="4" fontId="8" fillId="2" borderId="48" xfId="0" applyNumberFormat="1" applyFont="1" applyFill="1" applyBorder="1" applyAlignment="1">
      <alignment horizontal="center"/>
    </xf>
    <xf numFmtId="4" fontId="8" fillId="2" borderId="43" xfId="0" applyNumberFormat="1" applyFont="1" applyFill="1" applyBorder="1" applyAlignment="1">
      <alignment horizontal="center"/>
    </xf>
    <xf numFmtId="4" fontId="8" fillId="2" borderId="44" xfId="0" applyNumberFormat="1" applyFont="1" applyFill="1" applyBorder="1" applyAlignment="1">
      <alignment horizontal="center"/>
    </xf>
    <xf numFmtId="3" fontId="8" fillId="2" borderId="42" xfId="0" applyNumberFormat="1" applyFont="1" applyFill="1" applyBorder="1" applyAlignment="1">
      <alignment horizontal="center"/>
    </xf>
    <xf numFmtId="0" fontId="8" fillId="0" borderId="21"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3" xfId="0" applyFont="1" applyBorder="1" applyAlignment="1">
      <alignment horizontal="left" vertical="center"/>
    </xf>
    <xf numFmtId="0" fontId="8" fillId="0" borderId="6" xfId="0" applyFont="1" applyBorder="1" applyAlignment="1">
      <alignment horizontal="center" vertical="center"/>
    </xf>
    <xf numFmtId="0" fontId="8" fillId="0" borderId="13" xfId="0" applyFont="1" applyBorder="1" applyAlignment="1">
      <alignment horizontal="left"/>
    </xf>
    <xf numFmtId="170" fontId="8" fillId="2" borderId="36" xfId="0" applyNumberFormat="1" applyFont="1" applyFill="1" applyBorder="1" applyAlignment="1">
      <alignment horizontal="center" vertical="center"/>
    </xf>
    <xf numFmtId="4" fontId="8" fillId="2" borderId="39" xfId="0" applyNumberFormat="1" applyFont="1" applyFill="1" applyBorder="1" applyAlignment="1">
      <alignment horizontal="center"/>
    </xf>
    <xf numFmtId="170" fontId="8" fillId="2" borderId="33" xfId="0" applyNumberFormat="1" applyFont="1" applyFill="1" applyBorder="1" applyAlignment="1">
      <alignment horizontal="center" vertical="center"/>
    </xf>
    <xf numFmtId="0" fontId="8" fillId="0" borderId="17" xfId="0" applyFont="1" applyBorder="1" applyAlignment="1">
      <alignment horizontal="left"/>
    </xf>
    <xf numFmtId="170" fontId="8" fillId="2" borderId="43" xfId="0" applyNumberFormat="1" applyFont="1" applyFill="1" applyBorder="1" applyAlignment="1">
      <alignment horizontal="center" vertical="center"/>
    </xf>
    <xf numFmtId="0" fontId="17" fillId="0" borderId="0" xfId="0" applyFont="1" applyAlignment="1">
      <alignment horizontal="center" vertical="center"/>
    </xf>
    <xf numFmtId="0" fontId="8" fillId="0" borderId="20"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4" xfId="0" applyFont="1" applyBorder="1" applyAlignment="1">
      <alignment horizontal="left"/>
    </xf>
    <xf numFmtId="2" fontId="8" fillId="2" borderId="38" xfId="0" applyNumberFormat="1" applyFont="1" applyFill="1" applyBorder="1" applyAlignment="1">
      <alignment horizontal="center"/>
    </xf>
    <xf numFmtId="165" fontId="8" fillId="2" borderId="36" xfId="0" applyNumberFormat="1" applyFont="1" applyFill="1" applyBorder="1" applyAlignment="1">
      <alignment horizontal="center"/>
    </xf>
    <xf numFmtId="0" fontId="8" fillId="2" borderId="45" xfId="0" applyFont="1" applyFill="1" applyBorder="1" applyAlignment="1">
      <alignment horizontal="center"/>
    </xf>
    <xf numFmtId="167" fontId="8" fillId="2" borderId="35" xfId="0" applyNumberFormat="1" applyFont="1" applyFill="1" applyBorder="1" applyAlignment="1">
      <alignment horizontal="center"/>
    </xf>
    <xf numFmtId="2" fontId="8" fillId="2" borderId="40" xfId="0" applyNumberFormat="1" applyFont="1" applyFill="1" applyBorder="1" applyAlignment="1">
      <alignment horizontal="center"/>
    </xf>
    <xf numFmtId="165" fontId="8" fillId="2" borderId="33" xfId="0" applyNumberFormat="1" applyFont="1" applyFill="1" applyBorder="1" applyAlignment="1">
      <alignment horizontal="center"/>
    </xf>
    <xf numFmtId="2" fontId="8" fillId="2" borderId="42" xfId="0" applyNumberFormat="1" applyFont="1" applyFill="1" applyBorder="1" applyAlignment="1">
      <alignment horizontal="center"/>
    </xf>
    <xf numFmtId="165" fontId="8" fillId="2" borderId="43" xfId="0" applyNumberFormat="1" applyFont="1" applyFill="1" applyBorder="1" applyAlignment="1">
      <alignment horizontal="center"/>
    </xf>
    <xf numFmtId="0" fontId="8" fillId="2" borderId="47" xfId="0" applyFont="1" applyFill="1" applyBorder="1" applyAlignment="1">
      <alignment horizontal="center"/>
    </xf>
    <xf numFmtId="9" fontId="8" fillId="2" borderId="45" xfId="6" applyFont="1" applyFill="1" applyBorder="1" applyAlignment="1" applyProtection="1">
      <alignment horizontal="center"/>
      <protection locked="0"/>
    </xf>
    <xf numFmtId="9" fontId="8" fillId="2" borderId="46" xfId="6" applyFont="1" applyFill="1" applyBorder="1" applyAlignment="1" applyProtection="1">
      <alignment horizontal="center"/>
      <protection locked="0"/>
    </xf>
    <xf numFmtId="9" fontId="8" fillId="2" borderId="47" xfId="6" applyFont="1" applyFill="1" applyBorder="1" applyAlignment="1" applyProtection="1">
      <alignment horizontal="center"/>
      <protection locked="0"/>
    </xf>
    <xf numFmtId="0" fontId="8" fillId="11" borderId="13"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11" borderId="14" xfId="0" applyFont="1" applyFill="1" applyBorder="1" applyAlignment="1">
      <alignment horizontal="center" vertical="center" wrapText="1"/>
    </xf>
    <xf numFmtId="9" fontId="8" fillId="11" borderId="0" xfId="6" applyFont="1" applyFill="1"/>
    <xf numFmtId="0" fontId="9" fillId="11" borderId="3" xfId="0" applyFont="1" applyFill="1" applyBorder="1"/>
    <xf numFmtId="2" fontId="8" fillId="0" borderId="0" xfId="6" applyNumberFormat="1" applyFont="1"/>
    <xf numFmtId="2" fontId="8" fillId="11" borderId="0" xfId="0" applyNumberFormat="1" applyFont="1" applyFill="1"/>
    <xf numFmtId="2" fontId="8" fillId="11" borderId="0" xfId="6" applyNumberFormat="1" applyFont="1" applyFill="1"/>
    <xf numFmtId="0" fontId="8" fillId="7" borderId="0" xfId="0" applyFont="1" applyFill="1" applyAlignment="1">
      <alignment horizontal="left" indent="1"/>
    </xf>
    <xf numFmtId="0" fontId="8" fillId="3" borderId="0" xfId="0" applyFont="1" applyFill="1" applyAlignment="1">
      <alignment horizontal="left" indent="1"/>
    </xf>
    <xf numFmtId="43" fontId="8" fillId="14" borderId="33" xfId="7" quotePrefix="1" applyFont="1" applyFill="1" applyBorder="1" applyAlignment="1">
      <alignment horizontal="center"/>
    </xf>
    <xf numFmtId="173" fontId="8" fillId="14" borderId="33" xfId="7" quotePrefix="1" applyNumberFormat="1" applyFont="1" applyFill="1" applyBorder="1" applyAlignment="1">
      <alignment horizontal="center"/>
    </xf>
    <xf numFmtId="43" fontId="8" fillId="14" borderId="33" xfId="7" applyFont="1" applyFill="1" applyBorder="1" applyAlignment="1">
      <alignment horizontal="center"/>
    </xf>
    <xf numFmtId="173" fontId="8" fillId="14" borderId="33" xfId="7" applyNumberFormat="1" applyFont="1" applyFill="1" applyBorder="1" applyAlignment="1">
      <alignment horizontal="center"/>
    </xf>
    <xf numFmtId="0" fontId="8" fillId="7" borderId="0" xfId="0" applyFont="1" applyFill="1"/>
    <xf numFmtId="0" fontId="8" fillId="7" borderId="66" xfId="0" applyFont="1" applyFill="1" applyBorder="1"/>
    <xf numFmtId="43" fontId="8" fillId="14" borderId="57" xfId="7" applyFont="1" applyFill="1" applyBorder="1" applyAlignment="1">
      <alignment horizontal="center"/>
    </xf>
    <xf numFmtId="43" fontId="8" fillId="11" borderId="0" xfId="7" applyFont="1" applyFill="1" applyBorder="1" applyAlignment="1">
      <alignment horizontal="center"/>
    </xf>
    <xf numFmtId="0" fontId="8" fillId="11" borderId="3" xfId="0" applyFont="1" applyFill="1" applyBorder="1"/>
    <xf numFmtId="0" fontId="9" fillId="0" borderId="3" xfId="0" applyFont="1" applyBorder="1"/>
    <xf numFmtId="0" fontId="20" fillId="11" borderId="0" xfId="0" applyFont="1" applyFill="1"/>
    <xf numFmtId="0" fontId="8" fillId="7" borderId="65" xfId="0" applyFont="1" applyFill="1" applyBorder="1" applyAlignment="1">
      <alignment horizontal="left" indent="1"/>
    </xf>
    <xf numFmtId="0" fontId="8" fillId="11" borderId="5" xfId="0" applyFont="1" applyFill="1" applyBorder="1" applyAlignment="1">
      <alignment horizontal="center" vertical="center" wrapText="1"/>
    </xf>
    <xf numFmtId="43" fontId="8" fillId="0" borderId="12" xfId="7" applyFont="1" applyBorder="1" applyAlignment="1">
      <alignment horizontal="center"/>
    </xf>
    <xf numFmtId="43" fontId="9" fillId="0" borderId="4" xfId="7" applyFont="1" applyBorder="1" applyAlignment="1">
      <alignment horizontal="center"/>
    </xf>
    <xf numFmtId="174" fontId="20" fillId="0" borderId="0" xfId="0" applyNumberFormat="1" applyFont="1"/>
    <xf numFmtId="0" fontId="12" fillId="15" borderId="27" xfId="0" applyFont="1" applyFill="1" applyBorder="1"/>
    <xf numFmtId="173" fontId="9" fillId="14" borderId="67" xfId="7" quotePrefix="1" applyNumberFormat="1" applyFont="1" applyFill="1" applyBorder="1" applyAlignment="1">
      <alignment horizontal="center"/>
    </xf>
    <xf numFmtId="43" fontId="20" fillId="0" borderId="0" xfId="7" applyFont="1"/>
    <xf numFmtId="9" fontId="20" fillId="0" borderId="0" xfId="6" applyFont="1"/>
    <xf numFmtId="0" fontId="8" fillId="7" borderId="0" xfId="0" applyFont="1" applyFill="1" applyAlignment="1">
      <alignment horizontal="left"/>
    </xf>
    <xf numFmtId="0" fontId="27" fillId="11" borderId="0" xfId="0" applyFont="1" applyFill="1"/>
    <xf numFmtId="0" fontId="26" fillId="3" borderId="60" xfId="7" quotePrefix="1" applyNumberFormat="1" applyFont="1" applyFill="1" applyBorder="1" applyAlignment="1">
      <alignment horizontal="left"/>
    </xf>
    <xf numFmtId="43" fontId="26" fillId="11" borderId="57" xfId="7" quotePrefix="1" applyFont="1" applyFill="1" applyBorder="1" applyAlignment="1">
      <alignment horizontal="center"/>
    </xf>
    <xf numFmtId="43" fontId="26" fillId="11" borderId="68" xfId="7" quotePrefix="1" applyFont="1" applyFill="1" applyBorder="1" applyAlignment="1">
      <alignment horizontal="center"/>
    </xf>
    <xf numFmtId="43" fontId="26" fillId="11" borderId="33" xfId="7" quotePrefix="1" applyFont="1" applyFill="1" applyBorder="1" applyAlignment="1">
      <alignment horizontal="center"/>
    </xf>
    <xf numFmtId="43" fontId="26" fillId="11" borderId="69" xfId="7" quotePrefix="1" applyFont="1" applyFill="1" applyBorder="1" applyAlignment="1">
      <alignment horizontal="center"/>
    </xf>
    <xf numFmtId="43" fontId="26" fillId="11" borderId="73" xfId="7" quotePrefix="1" applyFont="1" applyFill="1" applyBorder="1" applyAlignment="1">
      <alignment horizontal="center"/>
    </xf>
    <xf numFmtId="0" fontId="26" fillId="3" borderId="75" xfId="7" quotePrefix="1" applyNumberFormat="1" applyFont="1" applyFill="1" applyBorder="1" applyAlignment="1">
      <alignment horizontal="left"/>
    </xf>
    <xf numFmtId="43" fontId="26" fillId="11" borderId="56" xfId="7" quotePrefix="1" applyFont="1" applyFill="1" applyBorder="1" applyAlignment="1">
      <alignment horizontal="center"/>
    </xf>
    <xf numFmtId="43" fontId="26" fillId="11" borderId="70" xfId="7" quotePrefix="1" applyFont="1" applyFill="1" applyBorder="1" applyAlignment="1">
      <alignment horizontal="center"/>
    </xf>
    <xf numFmtId="43" fontId="26" fillId="11" borderId="74" xfId="7" quotePrefix="1" applyFont="1" applyFill="1" applyBorder="1" applyAlignment="1">
      <alignment horizontal="center"/>
    </xf>
    <xf numFmtId="43" fontId="26" fillId="11" borderId="72" xfId="7" quotePrefix="1" applyFont="1" applyFill="1" applyBorder="1" applyAlignment="1">
      <alignment horizontal="center"/>
    </xf>
    <xf numFmtId="43" fontId="26" fillId="11" borderId="0" xfId="7" quotePrefix="1" applyFont="1" applyFill="1" applyBorder="1" applyAlignment="1">
      <alignment horizontal="center"/>
    </xf>
    <xf numFmtId="175" fontId="26" fillId="11" borderId="76" xfId="7" quotePrefix="1" applyNumberFormat="1" applyFont="1" applyFill="1" applyBorder="1" applyAlignment="1">
      <alignment horizontal="right"/>
    </xf>
    <xf numFmtId="175" fontId="26" fillId="11" borderId="71" xfId="7" quotePrefix="1" applyNumberFormat="1" applyFont="1" applyFill="1" applyBorder="1" applyAlignment="1">
      <alignment horizontal="right"/>
    </xf>
    <xf numFmtId="0" fontId="27" fillId="11" borderId="68" xfId="7" quotePrefix="1" applyNumberFormat="1" applyFont="1" applyFill="1" applyBorder="1" applyAlignment="1">
      <alignment horizontal="left"/>
    </xf>
    <xf numFmtId="0" fontId="27" fillId="11" borderId="70" xfId="7" quotePrefix="1" applyNumberFormat="1" applyFont="1" applyFill="1" applyBorder="1" applyAlignment="1">
      <alignment horizontal="left"/>
    </xf>
    <xf numFmtId="0" fontId="26" fillId="11" borderId="0" xfId="7" quotePrefix="1" applyNumberFormat="1" applyFont="1" applyFill="1" applyBorder="1" applyAlignment="1">
      <alignment horizontal="left"/>
    </xf>
    <xf numFmtId="0" fontId="27" fillId="11" borderId="0" xfId="7" quotePrefix="1" applyNumberFormat="1" applyFont="1" applyFill="1" applyBorder="1" applyAlignment="1">
      <alignment horizontal="left"/>
    </xf>
    <xf numFmtId="43" fontId="20" fillId="11" borderId="0" xfId="0" applyNumberFormat="1" applyFont="1" applyFill="1"/>
    <xf numFmtId="0" fontId="28" fillId="11" borderId="0" xfId="0" applyFont="1" applyFill="1"/>
    <xf numFmtId="0" fontId="12" fillId="11" borderId="0" xfId="0" applyFont="1" applyFill="1" applyAlignment="1">
      <alignment horizontal="center"/>
    </xf>
    <xf numFmtId="0" fontId="12" fillId="11" borderId="0" xfId="0" applyFont="1" applyFill="1"/>
    <xf numFmtId="0" fontId="18" fillId="11" borderId="0" xfId="7" quotePrefix="1" applyNumberFormat="1" applyFont="1" applyFill="1" applyBorder="1" applyAlignment="1">
      <alignment horizontal="left"/>
    </xf>
    <xf numFmtId="0" fontId="18" fillId="11" borderId="0" xfId="0" applyFont="1" applyFill="1" applyAlignment="1">
      <alignment horizontal="left"/>
    </xf>
    <xf numFmtId="0" fontId="8" fillId="16" borderId="55" xfId="0" applyFont="1" applyFill="1" applyBorder="1" applyAlignment="1">
      <alignment horizontal="center" vertical="center"/>
    </xf>
    <xf numFmtId="0" fontId="9" fillId="16" borderId="37" xfId="0" applyFont="1" applyFill="1" applyBorder="1"/>
    <xf numFmtId="0" fontId="8" fillId="16" borderId="36" xfId="0" applyFont="1" applyFill="1" applyBorder="1" applyAlignment="1">
      <alignment horizontal="center" vertical="center"/>
    </xf>
    <xf numFmtId="0" fontId="8" fillId="16" borderId="46" xfId="0" applyFont="1" applyFill="1" applyBorder="1" applyAlignment="1">
      <alignment horizontal="center"/>
    </xf>
    <xf numFmtId="0" fontId="8" fillId="16" borderId="5" xfId="0" applyFont="1" applyFill="1" applyBorder="1" applyAlignment="1">
      <alignment horizontal="center" vertical="center"/>
    </xf>
    <xf numFmtId="0" fontId="8" fillId="16" borderId="6" xfId="0" applyFont="1" applyFill="1" applyBorder="1" applyAlignment="1">
      <alignment horizontal="center" vertical="center"/>
    </xf>
    <xf numFmtId="0" fontId="8" fillId="16" borderId="14" xfId="0" applyFont="1" applyFill="1" applyBorder="1" applyAlignment="1">
      <alignment horizontal="center" vertical="center"/>
    </xf>
    <xf numFmtId="0" fontId="8" fillId="16" borderId="41" xfId="0" applyFont="1" applyFill="1" applyBorder="1" applyAlignment="1">
      <alignment horizontal="center"/>
    </xf>
    <xf numFmtId="0" fontId="8" fillId="16" borderId="44" xfId="0" applyFont="1" applyFill="1" applyBorder="1" applyAlignment="1">
      <alignment horizontal="center"/>
    </xf>
    <xf numFmtId="0" fontId="8" fillId="16" borderId="36" xfId="0" applyFont="1" applyFill="1" applyBorder="1" applyAlignment="1" applyProtection="1">
      <alignment horizontal="center" vertical="center"/>
      <protection locked="0"/>
    </xf>
    <xf numFmtId="0" fontId="8" fillId="16" borderId="33" xfId="0" applyFont="1" applyFill="1" applyBorder="1" applyAlignment="1" applyProtection="1">
      <alignment horizontal="center" vertical="center"/>
      <protection locked="0"/>
    </xf>
    <xf numFmtId="0" fontId="8" fillId="16" borderId="43" xfId="0" applyFont="1" applyFill="1" applyBorder="1" applyAlignment="1" applyProtection="1">
      <alignment horizontal="center" vertical="center"/>
      <protection locked="0"/>
    </xf>
    <xf numFmtId="0" fontId="8" fillId="16" borderId="45" xfId="6" applyNumberFormat="1" applyFont="1" applyFill="1" applyBorder="1" applyAlignment="1" applyProtection="1">
      <alignment horizontal="center"/>
    </xf>
    <xf numFmtId="0" fontId="8" fillId="16" borderId="46" xfId="6" applyNumberFormat="1" applyFont="1" applyFill="1" applyBorder="1" applyAlignment="1" applyProtection="1">
      <alignment horizontal="center"/>
    </xf>
    <xf numFmtId="0" fontId="8" fillId="16" borderId="47" xfId="6" applyNumberFormat="1" applyFont="1" applyFill="1" applyBorder="1" applyAlignment="1" applyProtection="1">
      <alignment horizontal="center"/>
    </xf>
    <xf numFmtId="0" fontId="8" fillId="16" borderId="36" xfId="0" applyFont="1" applyFill="1" applyBorder="1" applyAlignment="1">
      <alignment horizontal="center"/>
    </xf>
    <xf numFmtId="0" fontId="8" fillId="16" borderId="33" xfId="0" applyFont="1" applyFill="1" applyBorder="1" applyAlignment="1">
      <alignment horizontal="center"/>
    </xf>
    <xf numFmtId="0" fontId="8" fillId="16" borderId="43" xfId="0" applyFont="1" applyFill="1" applyBorder="1" applyAlignment="1">
      <alignment horizontal="center"/>
    </xf>
    <xf numFmtId="0" fontId="8" fillId="16" borderId="39" xfId="0" applyFont="1" applyFill="1" applyBorder="1" applyAlignment="1">
      <alignment horizontal="center"/>
    </xf>
    <xf numFmtId="171" fontId="8" fillId="0" borderId="45" xfId="6" applyNumberFormat="1" applyFont="1" applyFill="1" applyBorder="1" applyAlignment="1" applyProtection="1">
      <alignment horizontal="center"/>
    </xf>
    <xf numFmtId="0" fontId="8" fillId="0" borderId="45" xfId="6" applyNumberFormat="1" applyFont="1" applyFill="1" applyBorder="1" applyAlignment="1" applyProtection="1">
      <alignment horizontal="center"/>
    </xf>
    <xf numFmtId="171" fontId="8" fillId="0" borderId="46" xfId="6" applyNumberFormat="1" applyFont="1" applyFill="1" applyBorder="1" applyAlignment="1" applyProtection="1">
      <alignment horizontal="center"/>
    </xf>
    <xf numFmtId="0" fontId="8" fillId="0" borderId="46" xfId="6" applyNumberFormat="1" applyFont="1" applyFill="1" applyBorder="1" applyAlignment="1" applyProtection="1">
      <alignment horizontal="center"/>
    </xf>
    <xf numFmtId="171" fontId="8" fillId="0" borderId="47" xfId="6" applyNumberFormat="1" applyFont="1" applyFill="1" applyBorder="1" applyAlignment="1" applyProtection="1">
      <alignment horizontal="center"/>
    </xf>
    <xf numFmtId="0" fontId="8" fillId="0" borderId="47" xfId="6" applyNumberFormat="1" applyFont="1" applyFill="1" applyBorder="1" applyAlignment="1" applyProtection="1">
      <alignment horizontal="center"/>
    </xf>
    <xf numFmtId="43" fontId="26" fillId="11" borderId="0" xfId="7" applyFont="1" applyFill="1" applyBorder="1" applyAlignment="1">
      <alignment horizontal="center"/>
    </xf>
    <xf numFmtId="43" fontId="20" fillId="11" borderId="79" xfId="7" quotePrefix="1" applyFont="1" applyFill="1" applyBorder="1" applyAlignment="1">
      <alignment horizontal="center"/>
    </xf>
    <xf numFmtId="0" fontId="20" fillId="3" borderId="62" xfId="7" quotePrefix="1" applyNumberFormat="1" applyFont="1" applyFill="1" applyBorder="1" applyAlignment="1">
      <alignment horizontal="left"/>
    </xf>
    <xf numFmtId="43" fontId="20" fillId="11" borderId="33" xfId="7" quotePrefix="1" applyFont="1" applyFill="1" applyBorder="1" applyAlignment="1">
      <alignment horizontal="center"/>
    </xf>
    <xf numFmtId="43" fontId="20" fillId="11" borderId="69" xfId="7" quotePrefix="1" applyFont="1" applyFill="1" applyBorder="1" applyAlignment="1">
      <alignment horizontal="center"/>
    </xf>
    <xf numFmtId="43" fontId="20" fillId="11" borderId="73" xfId="7" quotePrefix="1" applyFont="1" applyFill="1" applyBorder="1" applyAlignment="1">
      <alignment horizontal="center"/>
    </xf>
    <xf numFmtId="0" fontId="20" fillId="3" borderId="75" xfId="7" quotePrefix="1" applyNumberFormat="1" applyFont="1" applyFill="1" applyBorder="1" applyAlignment="1">
      <alignment horizontal="left"/>
    </xf>
    <xf numFmtId="43" fontId="20" fillId="11" borderId="56" xfId="7" applyFont="1" applyFill="1" applyBorder="1" applyAlignment="1">
      <alignment horizontal="center"/>
    </xf>
    <xf numFmtId="43" fontId="20" fillId="11" borderId="70" xfId="7" applyFont="1" applyFill="1" applyBorder="1" applyAlignment="1">
      <alignment horizontal="center"/>
    </xf>
    <xf numFmtId="43" fontId="20" fillId="11" borderId="74" xfId="7" applyFont="1" applyFill="1" applyBorder="1" applyAlignment="1">
      <alignment horizontal="center"/>
    </xf>
    <xf numFmtId="0" fontId="20" fillId="3" borderId="60" xfId="7" quotePrefix="1" applyNumberFormat="1" applyFont="1" applyFill="1" applyBorder="1" applyAlignment="1">
      <alignment horizontal="left"/>
    </xf>
    <xf numFmtId="43" fontId="20" fillId="11" borderId="57" xfId="7" quotePrefix="1" applyFont="1" applyFill="1" applyBorder="1" applyAlignment="1">
      <alignment horizontal="center"/>
    </xf>
    <xf numFmtId="43" fontId="20" fillId="11" borderId="68" xfId="7" quotePrefix="1" applyFont="1" applyFill="1" applyBorder="1" applyAlignment="1">
      <alignment horizontal="center"/>
    </xf>
    <xf numFmtId="43" fontId="20" fillId="11" borderId="72" xfId="7" quotePrefix="1" applyFont="1" applyFill="1" applyBorder="1" applyAlignment="1">
      <alignment horizontal="center"/>
    </xf>
    <xf numFmtId="43" fontId="20" fillId="11" borderId="56" xfId="7" quotePrefix="1" applyFont="1" applyFill="1" applyBorder="1" applyAlignment="1">
      <alignment horizontal="center"/>
    </xf>
    <xf numFmtId="43" fontId="20" fillId="11" borderId="70" xfId="7" quotePrefix="1" applyFont="1" applyFill="1" applyBorder="1" applyAlignment="1">
      <alignment horizontal="center"/>
    </xf>
    <xf numFmtId="43" fontId="20" fillId="11" borderId="74" xfId="7" quotePrefix="1" applyFont="1" applyFill="1" applyBorder="1" applyAlignment="1">
      <alignment horizontal="center"/>
    </xf>
    <xf numFmtId="0" fontId="12" fillId="13" borderId="0" xfId="0" applyFont="1" applyFill="1"/>
    <xf numFmtId="0" fontId="30" fillId="11" borderId="68" xfId="7" quotePrefix="1" applyNumberFormat="1" applyFont="1" applyFill="1" applyBorder="1" applyAlignment="1">
      <alignment horizontal="left"/>
    </xf>
    <xf numFmtId="0" fontId="30" fillId="11" borderId="70" xfId="7" quotePrefix="1" applyNumberFormat="1" applyFont="1" applyFill="1" applyBorder="1" applyAlignment="1">
      <alignment horizontal="left"/>
    </xf>
    <xf numFmtId="0" fontId="30" fillId="11" borderId="69" xfId="7" quotePrefix="1" applyNumberFormat="1" applyFont="1" applyFill="1" applyBorder="1" applyAlignment="1">
      <alignment horizontal="left"/>
    </xf>
    <xf numFmtId="0" fontId="12" fillId="0" borderId="0" xfId="0" applyFont="1" applyAlignment="1">
      <alignment horizontal="center"/>
    </xf>
    <xf numFmtId="0" fontId="31" fillId="0" borderId="0" xfId="0" applyFont="1" applyAlignment="1">
      <alignment horizontal="center"/>
    </xf>
    <xf numFmtId="0" fontId="12" fillId="0" borderId="0" xfId="0" applyFont="1"/>
    <xf numFmtId="173" fontId="9" fillId="0" borderId="0" xfId="7" quotePrefix="1" applyNumberFormat="1" applyFont="1" applyFill="1" applyBorder="1" applyAlignment="1">
      <alignment horizontal="center"/>
    </xf>
    <xf numFmtId="0" fontId="26" fillId="3" borderId="80" xfId="7" quotePrefix="1" applyNumberFormat="1" applyFont="1" applyFill="1" applyBorder="1" applyAlignment="1">
      <alignment horizontal="left"/>
    </xf>
    <xf numFmtId="0" fontId="27" fillId="11" borderId="81" xfId="7" quotePrefix="1" applyNumberFormat="1" applyFont="1" applyFill="1" applyBorder="1" applyAlignment="1">
      <alignment horizontal="left"/>
    </xf>
    <xf numFmtId="4" fontId="8" fillId="2" borderId="35" xfId="0" applyNumberFormat="1" applyFont="1" applyFill="1" applyBorder="1" applyAlignment="1">
      <alignment horizontal="center"/>
    </xf>
    <xf numFmtId="4" fontId="8" fillId="2" borderId="36" xfId="7" applyNumberFormat="1" applyFont="1" applyFill="1" applyBorder="1" applyAlignment="1">
      <alignment horizontal="center"/>
    </xf>
    <xf numFmtId="4" fontId="8" fillId="2" borderId="36" xfId="0" applyNumberFormat="1" applyFont="1" applyFill="1" applyBorder="1" applyAlignment="1">
      <alignment horizontal="center"/>
    </xf>
    <xf numFmtId="4" fontId="8" fillId="2" borderId="39" xfId="7" applyNumberFormat="1" applyFont="1" applyFill="1" applyBorder="1" applyAlignment="1">
      <alignment horizontal="center"/>
    </xf>
    <xf numFmtId="4" fontId="8" fillId="2" borderId="38" xfId="0" applyNumberFormat="1" applyFont="1" applyFill="1" applyBorder="1" applyAlignment="1">
      <alignment horizontal="center"/>
    </xf>
    <xf numFmtId="4" fontId="8" fillId="2" borderId="33" xfId="7" applyNumberFormat="1" applyFont="1" applyFill="1" applyBorder="1" applyAlignment="1">
      <alignment horizontal="center"/>
    </xf>
    <xf numFmtId="4" fontId="8" fillId="2" borderId="41" xfId="7" applyNumberFormat="1" applyFont="1" applyFill="1" applyBorder="1" applyAlignment="1">
      <alignment horizontal="center"/>
    </xf>
    <xf numFmtId="4" fontId="8" fillId="2" borderId="40" xfId="0" applyNumberFormat="1" applyFont="1" applyFill="1" applyBorder="1" applyAlignment="1">
      <alignment horizontal="center"/>
    </xf>
    <xf numFmtId="4" fontId="8" fillId="2" borderId="43" xfId="7" applyNumberFormat="1" applyFont="1" applyFill="1" applyBorder="1" applyAlignment="1">
      <alignment horizontal="center"/>
    </xf>
    <xf numFmtId="4" fontId="8" fillId="2" borderId="44" xfId="7" applyNumberFormat="1" applyFont="1" applyFill="1" applyBorder="1" applyAlignment="1">
      <alignment horizontal="center"/>
    </xf>
    <xf numFmtId="4" fontId="8" fillId="2" borderId="42" xfId="0" applyNumberFormat="1" applyFont="1" applyFill="1" applyBorder="1" applyAlignment="1">
      <alignment horizontal="center"/>
    </xf>
    <xf numFmtId="0" fontId="32" fillId="17" borderId="38" xfId="0" applyFont="1" applyFill="1" applyBorder="1" applyAlignment="1">
      <alignment horizontal="center" vertical="center"/>
    </xf>
    <xf numFmtId="0" fontId="32" fillId="17" borderId="45" xfId="0" applyFont="1" applyFill="1" applyBorder="1" applyAlignment="1">
      <alignment horizontal="center" vertical="center"/>
    </xf>
    <xf numFmtId="0" fontId="32" fillId="17" borderId="35" xfId="0" applyFont="1" applyFill="1" applyBorder="1" applyAlignment="1">
      <alignment horizontal="center" vertical="center"/>
    </xf>
    <xf numFmtId="0" fontId="32" fillId="17" borderId="36" xfId="0" applyFont="1" applyFill="1" applyBorder="1" applyAlignment="1">
      <alignment horizontal="center" vertical="center"/>
    </xf>
    <xf numFmtId="3" fontId="32" fillId="17" borderId="36" xfId="0" applyNumberFormat="1" applyFont="1" applyFill="1" applyBorder="1" applyAlignment="1">
      <alignment horizontal="center" vertical="center"/>
    </xf>
    <xf numFmtId="0" fontId="32" fillId="17" borderId="61" xfId="0" applyFont="1" applyFill="1" applyBorder="1" applyAlignment="1">
      <alignment horizontal="center" vertical="center"/>
    </xf>
    <xf numFmtId="4" fontId="32" fillId="17" borderId="36" xfId="0" applyNumberFormat="1" applyFont="1" applyFill="1" applyBorder="1" applyAlignment="1">
      <alignment horizontal="center"/>
    </xf>
    <xf numFmtId="0" fontId="32" fillId="17" borderId="36" xfId="0" applyFont="1" applyFill="1" applyBorder="1" applyAlignment="1">
      <alignment horizontal="center"/>
    </xf>
    <xf numFmtId="0" fontId="30" fillId="11" borderId="55" xfId="7" quotePrefix="1" applyNumberFormat="1" applyFont="1" applyFill="1" applyBorder="1" applyAlignment="1">
      <alignment horizontal="left"/>
    </xf>
    <xf numFmtId="0" fontId="30" fillId="11" borderId="46" xfId="7" quotePrefix="1" applyNumberFormat="1" applyFont="1" applyFill="1" applyBorder="1" applyAlignment="1">
      <alignment horizontal="left"/>
    </xf>
    <xf numFmtId="0" fontId="33" fillId="11" borderId="0" xfId="7" quotePrefix="1" applyNumberFormat="1" applyFont="1" applyFill="1" applyBorder="1" applyAlignment="1">
      <alignment horizontal="left"/>
    </xf>
    <xf numFmtId="0" fontId="34" fillId="11" borderId="0" xfId="7" quotePrefix="1" applyNumberFormat="1" applyFont="1" applyFill="1" applyBorder="1" applyAlignment="1">
      <alignment horizontal="left"/>
    </xf>
    <xf numFmtId="0" fontId="33" fillId="11" borderId="0" xfId="7" quotePrefix="1" applyNumberFormat="1" applyFont="1" applyFill="1" applyBorder="1" applyAlignment="1">
      <alignment horizontal="right"/>
    </xf>
    <xf numFmtId="9" fontId="20" fillId="11" borderId="60" xfId="6" quotePrefix="1" applyFont="1" applyFill="1" applyBorder="1" applyAlignment="1">
      <alignment horizontal="right"/>
    </xf>
    <xf numFmtId="9" fontId="20" fillId="11" borderId="57" xfId="6" quotePrefix="1" applyFont="1" applyFill="1" applyBorder="1" applyAlignment="1">
      <alignment horizontal="right"/>
    </xf>
    <xf numFmtId="9" fontId="20" fillId="11" borderId="68" xfId="6" quotePrefix="1" applyFont="1" applyFill="1" applyBorder="1" applyAlignment="1">
      <alignment horizontal="right"/>
    </xf>
    <xf numFmtId="2" fontId="20" fillId="11" borderId="62" xfId="7" quotePrefix="1" applyNumberFormat="1" applyFont="1" applyFill="1" applyBorder="1" applyAlignment="1">
      <alignment horizontal="right"/>
    </xf>
    <xf numFmtId="2" fontId="20" fillId="11" borderId="33" xfId="7" quotePrefix="1" applyNumberFormat="1" applyFont="1" applyFill="1" applyBorder="1" applyAlignment="1">
      <alignment horizontal="right"/>
    </xf>
    <xf numFmtId="2" fontId="20" fillId="11" borderId="69" xfId="7" quotePrefix="1" applyNumberFormat="1" applyFont="1" applyFill="1" applyBorder="1" applyAlignment="1">
      <alignment horizontal="right"/>
    </xf>
    <xf numFmtId="9" fontId="26" fillId="11" borderId="0" xfId="6" quotePrefix="1" applyFont="1" applyFill="1" applyBorder="1" applyAlignment="1">
      <alignment horizontal="right"/>
    </xf>
    <xf numFmtId="43" fontId="26" fillId="11" borderId="0" xfId="7" quotePrefix="1" applyFont="1" applyFill="1" applyBorder="1" applyAlignment="1">
      <alignment horizontal="right"/>
    </xf>
    <xf numFmtId="43" fontId="26" fillId="11" borderId="57" xfId="7" quotePrefix="1" applyFont="1" applyFill="1" applyBorder="1" applyAlignment="1">
      <alignment horizontal="right"/>
    </xf>
    <xf numFmtId="43" fontId="26" fillId="11" borderId="33" xfId="7" quotePrefix="1" applyFont="1" applyFill="1" applyBorder="1" applyAlignment="1">
      <alignment horizontal="right"/>
    </xf>
    <xf numFmtId="43" fontId="26" fillId="11" borderId="69" xfId="7" quotePrefix="1" applyFont="1" applyFill="1" applyBorder="1" applyAlignment="1">
      <alignment horizontal="right"/>
    </xf>
    <xf numFmtId="9" fontId="26" fillId="11" borderId="56" xfId="6" quotePrefix="1" applyFont="1" applyFill="1" applyBorder="1" applyAlignment="1">
      <alignment horizontal="right"/>
    </xf>
    <xf numFmtId="9" fontId="26" fillId="11" borderId="70" xfId="6" quotePrefix="1" applyFont="1" applyFill="1" applyBorder="1" applyAlignment="1">
      <alignment horizontal="right"/>
    </xf>
    <xf numFmtId="9" fontId="26" fillId="11" borderId="74" xfId="6" quotePrefix="1" applyFont="1" applyFill="1" applyBorder="1" applyAlignment="1">
      <alignment horizontal="right"/>
    </xf>
    <xf numFmtId="0" fontId="9" fillId="13" borderId="27" xfId="0" applyFont="1" applyFill="1" applyBorder="1"/>
    <xf numFmtId="0" fontId="35" fillId="13" borderId="28" xfId="0" applyFont="1" applyFill="1" applyBorder="1"/>
    <xf numFmtId="0" fontId="9" fillId="13" borderId="59" xfId="0" applyFont="1" applyFill="1" applyBorder="1" applyAlignment="1">
      <alignment horizontal="center"/>
    </xf>
    <xf numFmtId="0" fontId="9" fillId="13" borderId="77" xfId="0" applyFont="1" applyFill="1" applyBorder="1" applyAlignment="1">
      <alignment horizontal="center"/>
    </xf>
    <xf numFmtId="0" fontId="35" fillId="0" borderId="0" xfId="0" applyFont="1" applyAlignment="1">
      <alignment horizontal="left"/>
    </xf>
    <xf numFmtId="0" fontId="9" fillId="13" borderId="16" xfId="0" applyFont="1" applyFill="1" applyBorder="1" applyAlignment="1">
      <alignment horizontal="center"/>
    </xf>
    <xf numFmtId="0" fontId="9" fillId="13" borderId="1" xfId="0" applyFont="1" applyFill="1" applyBorder="1" applyAlignment="1">
      <alignment horizontal="center"/>
    </xf>
    <xf numFmtId="0" fontId="9" fillId="13" borderId="78" xfId="0" applyFont="1" applyFill="1" applyBorder="1" applyAlignment="1">
      <alignment horizontal="center"/>
    </xf>
    <xf numFmtId="0" fontId="9" fillId="11" borderId="0" xfId="7" quotePrefix="1" applyNumberFormat="1" applyFont="1" applyFill="1" applyBorder="1" applyAlignment="1">
      <alignment horizontal="left"/>
    </xf>
    <xf numFmtId="0" fontId="20" fillId="11" borderId="0" xfId="7" quotePrefix="1" applyNumberFormat="1" applyFont="1" applyFill="1" applyBorder="1" applyAlignment="1">
      <alignment horizontal="left"/>
    </xf>
    <xf numFmtId="0" fontId="30" fillId="11" borderId="0" xfId="7" quotePrefix="1" applyNumberFormat="1" applyFont="1" applyFill="1" applyBorder="1" applyAlignment="1">
      <alignment horizontal="left"/>
    </xf>
    <xf numFmtId="0" fontId="20" fillId="11" borderId="0" xfId="7" quotePrefix="1" applyNumberFormat="1" applyFont="1" applyFill="1" applyBorder="1" applyAlignment="1">
      <alignment horizontal="right"/>
    </xf>
    <xf numFmtId="9" fontId="20" fillId="11" borderId="74" xfId="6" quotePrefix="1" applyFont="1" applyFill="1" applyBorder="1" applyAlignment="1">
      <alignment horizontal="right"/>
    </xf>
    <xf numFmtId="0" fontId="30" fillId="11" borderId="82" xfId="7" quotePrefix="1" applyNumberFormat="1" applyFont="1" applyFill="1" applyBorder="1" applyAlignment="1">
      <alignment horizontal="left"/>
    </xf>
    <xf numFmtId="2" fontId="20" fillId="11" borderId="75" xfId="7" quotePrefix="1" applyNumberFormat="1" applyFont="1" applyFill="1" applyBorder="1" applyAlignment="1">
      <alignment horizontal="right"/>
    </xf>
    <xf numFmtId="2" fontId="20" fillId="11" borderId="56" xfId="7" quotePrefix="1" applyNumberFormat="1" applyFont="1" applyFill="1" applyBorder="1" applyAlignment="1">
      <alignment horizontal="right"/>
    </xf>
    <xf numFmtId="2" fontId="20" fillId="11" borderId="70" xfId="7" quotePrefix="1" applyNumberFormat="1" applyFont="1" applyFill="1" applyBorder="1" applyAlignment="1">
      <alignment horizontal="right"/>
    </xf>
    <xf numFmtId="0" fontId="27" fillId="11" borderId="55" xfId="7" quotePrefix="1" applyNumberFormat="1" applyFont="1" applyFill="1" applyBorder="1" applyAlignment="1">
      <alignment horizontal="left"/>
    </xf>
    <xf numFmtId="0" fontId="27" fillId="11" borderId="46" xfId="7" quotePrefix="1" applyNumberFormat="1" applyFont="1" applyFill="1" applyBorder="1" applyAlignment="1">
      <alignment horizontal="left"/>
    </xf>
    <xf numFmtId="0" fontId="27" fillId="11" borderId="82" xfId="7" quotePrefix="1" applyNumberFormat="1" applyFont="1" applyFill="1" applyBorder="1" applyAlignment="1">
      <alignment horizontal="left"/>
    </xf>
    <xf numFmtId="43" fontId="26" fillId="11" borderId="60" xfId="7" quotePrefix="1" applyFont="1" applyFill="1" applyBorder="1" applyAlignment="1">
      <alignment horizontal="right"/>
    </xf>
    <xf numFmtId="43" fontId="26" fillId="11" borderId="62" xfId="7" quotePrefix="1" applyFont="1" applyFill="1" applyBorder="1" applyAlignment="1">
      <alignment horizontal="right"/>
    </xf>
    <xf numFmtId="9" fontId="26" fillId="11" borderId="75" xfId="6" quotePrefix="1" applyFont="1" applyFill="1" applyBorder="1" applyAlignment="1">
      <alignment horizontal="right"/>
    </xf>
    <xf numFmtId="43" fontId="20" fillId="11" borderId="60" xfId="7" quotePrefix="1" applyFont="1" applyFill="1" applyBorder="1" applyAlignment="1">
      <alignment horizontal="center"/>
    </xf>
    <xf numFmtId="43" fontId="20" fillId="11" borderId="62" xfId="7" quotePrefix="1" applyFont="1" applyFill="1" applyBorder="1" applyAlignment="1">
      <alignment horizontal="center"/>
    </xf>
    <xf numFmtId="43" fontId="20" fillId="11" borderId="75" xfId="7" applyFont="1" applyFill="1" applyBorder="1" applyAlignment="1">
      <alignment horizontal="center"/>
    </xf>
    <xf numFmtId="43" fontId="20" fillId="11" borderId="75" xfId="7" quotePrefix="1" applyFont="1" applyFill="1" applyBorder="1" applyAlignment="1">
      <alignment horizontal="center"/>
    </xf>
    <xf numFmtId="43" fontId="26" fillId="11" borderId="60" xfId="7" quotePrefix="1" applyFont="1" applyFill="1" applyBorder="1" applyAlignment="1">
      <alignment horizontal="center"/>
    </xf>
    <xf numFmtId="43" fontId="26" fillId="11" borderId="62" xfId="7" quotePrefix="1" applyFont="1" applyFill="1" applyBorder="1" applyAlignment="1">
      <alignment horizontal="center"/>
    </xf>
    <xf numFmtId="43" fontId="26" fillId="11" borderId="75" xfId="7" quotePrefix="1" applyFont="1" applyFill="1" applyBorder="1" applyAlignment="1">
      <alignment horizontal="center"/>
    </xf>
    <xf numFmtId="0" fontId="21" fillId="11" borderId="0" xfId="0" quotePrefix="1" applyFont="1" applyFill="1" applyAlignment="1">
      <alignment horizontal="center"/>
    </xf>
    <xf numFmtId="9" fontId="20" fillId="11" borderId="72" xfId="6" quotePrefix="1" applyFont="1" applyFill="1" applyBorder="1" applyAlignment="1">
      <alignment horizontal="right"/>
    </xf>
    <xf numFmtId="43" fontId="20" fillId="11" borderId="73" xfId="7" quotePrefix="1" applyFont="1" applyFill="1" applyBorder="1" applyAlignment="1">
      <alignment horizontal="right"/>
    </xf>
    <xf numFmtId="43" fontId="20" fillId="11" borderId="74" xfId="7" quotePrefix="1" applyFont="1" applyFill="1" applyBorder="1" applyAlignment="1">
      <alignment horizontal="right"/>
    </xf>
    <xf numFmtId="0" fontId="9" fillId="13" borderId="83" xfId="0" applyFont="1" applyFill="1" applyBorder="1" applyAlignment="1">
      <alignment horizontal="center"/>
    </xf>
    <xf numFmtId="0" fontId="9" fillId="13" borderId="84" xfId="0" applyFont="1" applyFill="1" applyBorder="1" applyAlignment="1">
      <alignment horizontal="center"/>
    </xf>
    <xf numFmtId="0" fontId="9" fillId="13" borderId="85" xfId="0" applyFont="1" applyFill="1" applyBorder="1" applyAlignment="1">
      <alignment horizontal="center"/>
    </xf>
    <xf numFmtId="0" fontId="9" fillId="13" borderId="54" xfId="0" applyFont="1" applyFill="1" applyBorder="1" applyAlignment="1">
      <alignment horizontal="center"/>
    </xf>
    <xf numFmtId="0" fontId="9" fillId="13" borderId="37" xfId="0" applyFont="1" applyFill="1" applyBorder="1" applyAlignment="1">
      <alignment horizontal="center"/>
    </xf>
    <xf numFmtId="176" fontId="20" fillId="0" borderId="0" xfId="7" applyNumberFormat="1" applyFont="1"/>
    <xf numFmtId="0" fontId="28" fillId="0" borderId="0" xfId="0" applyFont="1" applyAlignment="1">
      <alignment horizontal="left"/>
    </xf>
    <xf numFmtId="0" fontId="26" fillId="11" borderId="0" xfId="0" applyFont="1" applyFill="1"/>
    <xf numFmtId="172" fontId="27" fillId="11" borderId="0" xfId="7" applyNumberFormat="1" applyFont="1" applyFill="1" applyBorder="1" applyAlignment="1">
      <alignment horizontal="left"/>
    </xf>
    <xf numFmtId="43" fontId="27" fillId="11" borderId="0" xfId="7" applyFont="1" applyFill="1" applyBorder="1" applyAlignment="1">
      <alignment horizontal="left"/>
    </xf>
    <xf numFmtId="0" fontId="21" fillId="11" borderId="0" xfId="0" applyFont="1" applyFill="1" applyAlignment="1">
      <alignment horizontal="center"/>
    </xf>
    <xf numFmtId="0" fontId="21" fillId="11" borderId="0" xfId="0" applyFont="1" applyFill="1" applyAlignment="1">
      <alignment horizontal="left"/>
    </xf>
    <xf numFmtId="0" fontId="26" fillId="11" borderId="0" xfId="0" applyFont="1" applyFill="1" applyAlignment="1">
      <alignment horizontal="center"/>
    </xf>
    <xf numFmtId="0" fontId="26" fillId="11" borderId="0" xfId="0" quotePrefix="1" applyFont="1" applyFill="1" applyAlignment="1">
      <alignment horizontal="center"/>
    </xf>
    <xf numFmtId="167" fontId="8" fillId="2" borderId="86" xfId="0" applyNumberFormat="1" applyFont="1" applyFill="1" applyBorder="1" applyAlignment="1">
      <alignment horizontal="center"/>
    </xf>
    <xf numFmtId="9" fontId="9" fillId="0" borderId="6" xfId="0" applyNumberFormat="1" applyFont="1" applyBorder="1" applyAlignment="1">
      <alignment horizontal="center"/>
    </xf>
    <xf numFmtId="166" fontId="8" fillId="2" borderId="36" xfId="0" applyNumberFormat="1" applyFont="1" applyFill="1" applyBorder="1" applyAlignment="1">
      <alignment horizontal="center" vertical="center"/>
    </xf>
    <xf numFmtId="169" fontId="8" fillId="2" borderId="35" xfId="0" applyNumberFormat="1" applyFont="1" applyFill="1" applyBorder="1" applyAlignment="1">
      <alignment horizontal="center" vertical="center"/>
    </xf>
    <xf numFmtId="0" fontId="8" fillId="2" borderId="39" xfId="0" applyFont="1" applyFill="1" applyBorder="1" applyAlignment="1">
      <alignment horizontal="center"/>
    </xf>
    <xf numFmtId="171" fontId="15" fillId="18" borderId="38" xfId="0" applyNumberFormat="1" applyFont="1" applyFill="1" applyBorder="1" applyAlignment="1">
      <alignment horizontal="center"/>
    </xf>
    <xf numFmtId="171" fontId="15" fillId="18" borderId="36" xfId="0" applyNumberFormat="1" applyFont="1" applyFill="1" applyBorder="1" applyAlignment="1">
      <alignment horizontal="center"/>
    </xf>
    <xf numFmtId="171" fontId="8" fillId="2" borderId="36" xfId="0" applyNumberFormat="1" applyFont="1" applyFill="1" applyBorder="1" applyAlignment="1">
      <alignment horizontal="center"/>
    </xf>
    <xf numFmtId="171" fontId="8" fillId="2" borderId="39" xfId="0" applyNumberFormat="1" applyFont="1" applyFill="1" applyBorder="1" applyAlignment="1">
      <alignment horizontal="center"/>
    </xf>
    <xf numFmtId="3" fontId="8" fillId="2" borderId="38" xfId="0" applyNumberFormat="1" applyFont="1" applyFill="1" applyBorder="1" applyAlignment="1">
      <alignment horizontal="center"/>
    </xf>
    <xf numFmtId="171" fontId="15" fillId="18" borderId="40" xfId="0" applyNumberFormat="1" applyFont="1" applyFill="1" applyBorder="1" applyAlignment="1">
      <alignment horizontal="center"/>
    </xf>
    <xf numFmtId="171" fontId="15" fillId="18" borderId="33" xfId="0" applyNumberFormat="1" applyFont="1" applyFill="1" applyBorder="1" applyAlignment="1">
      <alignment horizontal="center"/>
    </xf>
    <xf numFmtId="171" fontId="8" fillId="2" borderId="33" xfId="0" applyNumberFormat="1" applyFont="1" applyFill="1" applyBorder="1" applyAlignment="1">
      <alignment horizontal="center"/>
    </xf>
    <xf numFmtId="171" fontId="8" fillId="2" borderId="41" xfId="0" applyNumberFormat="1" applyFont="1" applyFill="1" applyBorder="1" applyAlignment="1">
      <alignment horizontal="center"/>
    </xf>
    <xf numFmtId="171" fontId="8" fillId="2" borderId="40" xfId="0" applyNumberFormat="1" applyFont="1" applyFill="1" applyBorder="1" applyAlignment="1">
      <alignment horizontal="center"/>
    </xf>
    <xf numFmtId="0" fontId="8" fillId="2" borderId="34" xfId="0" applyFont="1" applyFill="1" applyBorder="1" applyAlignment="1" applyProtection="1">
      <alignment horizontal="center" vertical="center"/>
      <protection locked="0"/>
    </xf>
    <xf numFmtId="9" fontId="8" fillId="2" borderId="46" xfId="6" applyFont="1" applyFill="1" applyBorder="1" applyAlignment="1" applyProtection="1">
      <alignment horizontal="center" vertical="center"/>
      <protection locked="0"/>
    </xf>
    <xf numFmtId="0" fontId="8" fillId="16" borderId="46" xfId="6" applyNumberFormat="1" applyFont="1" applyFill="1" applyBorder="1" applyAlignment="1" applyProtection="1">
      <alignment horizontal="center" vertical="center"/>
    </xf>
    <xf numFmtId="0" fontId="32" fillId="17" borderId="41" xfId="0" applyFont="1" applyFill="1" applyBorder="1" applyAlignment="1">
      <alignment horizontal="center" vertical="center"/>
    </xf>
    <xf numFmtId="43" fontId="20" fillId="11" borderId="0" xfId="7" quotePrefix="1" applyFont="1" applyFill="1" applyBorder="1" applyAlignment="1">
      <alignment horizontal="center"/>
    </xf>
    <xf numFmtId="0" fontId="36" fillId="0" borderId="0" xfId="0" applyFont="1"/>
    <xf numFmtId="9" fontId="20" fillId="11" borderId="0" xfId="6" quotePrefix="1" applyFont="1" applyFill="1" applyBorder="1" applyAlignment="1">
      <alignment horizontal="right"/>
    </xf>
    <xf numFmtId="164" fontId="20" fillId="0" borderId="0" xfId="0" applyNumberFormat="1" applyFont="1"/>
    <xf numFmtId="164" fontId="20" fillId="11" borderId="0" xfId="0" applyNumberFormat="1" applyFont="1" applyFill="1"/>
    <xf numFmtId="0" fontId="37" fillId="12" borderId="0" xfId="0" applyFont="1" applyFill="1"/>
    <xf numFmtId="0" fontId="38" fillId="0" borderId="0" xfId="0" applyFont="1"/>
    <xf numFmtId="0" fontId="21" fillId="15" borderId="27" xfId="0" applyFont="1" applyFill="1" applyBorder="1"/>
    <xf numFmtId="0" fontId="21" fillId="19" borderId="27" xfId="0" applyFont="1" applyFill="1" applyBorder="1"/>
    <xf numFmtId="43" fontId="20" fillId="11" borderId="87" xfId="7" quotePrefix="1" applyFont="1" applyFill="1" applyBorder="1" applyAlignment="1">
      <alignment horizontal="center"/>
    </xf>
    <xf numFmtId="0" fontId="20" fillId="0" borderId="12" xfId="0" applyFont="1" applyBorder="1"/>
    <xf numFmtId="43" fontId="20" fillId="2" borderId="73" xfId="7" quotePrefix="1" applyFont="1" applyFill="1" applyBorder="1" applyAlignment="1">
      <alignment horizontal="center"/>
    </xf>
    <xf numFmtId="43" fontId="20" fillId="2" borderId="74" xfId="7" quotePrefix="1" applyFont="1" applyFill="1" applyBorder="1" applyAlignment="1">
      <alignment horizontal="center"/>
    </xf>
    <xf numFmtId="172" fontId="20" fillId="2" borderId="72" xfId="7" quotePrefix="1" applyNumberFormat="1" applyFont="1" applyFill="1" applyBorder="1" applyAlignment="1">
      <alignment horizontal="center"/>
    </xf>
    <xf numFmtId="172" fontId="20" fillId="11" borderId="73" xfId="7" quotePrefix="1" applyNumberFormat="1" applyFont="1" applyFill="1" applyBorder="1" applyAlignment="1">
      <alignment horizontal="center"/>
    </xf>
    <xf numFmtId="10" fontId="20" fillId="11" borderId="73" xfId="6" quotePrefix="1" applyNumberFormat="1" applyFont="1" applyFill="1" applyBorder="1" applyAlignment="1">
      <alignment horizontal="right"/>
    </xf>
    <xf numFmtId="173" fontId="9" fillId="14" borderId="67" xfId="7" quotePrefix="1" applyNumberFormat="1" applyFont="1" applyFill="1" applyBorder="1" applyAlignment="1">
      <alignment horizontal="center" vertical="center"/>
    </xf>
    <xf numFmtId="0" fontId="20" fillId="11" borderId="73" xfId="7" quotePrefix="1" applyNumberFormat="1" applyFont="1" applyFill="1" applyBorder="1" applyAlignment="1">
      <alignment horizontal="center"/>
    </xf>
    <xf numFmtId="0" fontId="10" fillId="0" borderId="0" xfId="0" applyFont="1"/>
    <xf numFmtId="2" fontId="10" fillId="0" borderId="0" xfId="0" applyNumberFormat="1" applyFont="1"/>
    <xf numFmtId="43" fontId="26" fillId="11" borderId="55" xfId="7" quotePrefix="1" applyFont="1" applyFill="1" applyBorder="1" applyAlignment="1">
      <alignment horizontal="right"/>
    </xf>
    <xf numFmtId="43" fontId="26" fillId="11" borderId="79" xfId="7" quotePrefix="1" applyFont="1" applyFill="1" applyBorder="1" applyAlignment="1">
      <alignment horizontal="right"/>
    </xf>
    <xf numFmtId="43" fontId="26" fillId="11" borderId="2" xfId="7" quotePrefix="1" applyFont="1" applyFill="1" applyBorder="1" applyAlignment="1">
      <alignment horizontal="right"/>
    </xf>
    <xf numFmtId="0" fontId="18" fillId="11" borderId="23" xfId="0" applyFont="1" applyFill="1" applyBorder="1" applyAlignment="1">
      <alignment horizontal="center" vertical="center" wrapText="1"/>
    </xf>
    <xf numFmtId="0" fontId="18" fillId="11" borderId="32" xfId="0" applyFont="1" applyFill="1" applyBorder="1" applyAlignment="1">
      <alignment horizontal="center" vertical="center" wrapText="1"/>
    </xf>
    <xf numFmtId="0" fontId="18" fillId="11" borderId="22" xfId="0" applyFont="1" applyFill="1" applyBorder="1" applyAlignment="1">
      <alignment horizontal="center" vertical="center" wrapText="1"/>
    </xf>
    <xf numFmtId="0" fontId="18" fillId="13" borderId="27" xfId="0" applyFont="1" applyFill="1" applyBorder="1" applyAlignment="1">
      <alignment horizontal="center"/>
    </xf>
    <xf numFmtId="0" fontId="18" fillId="13" borderId="28" xfId="0" applyFont="1" applyFill="1" applyBorder="1" applyAlignment="1">
      <alignment horizontal="center"/>
    </xf>
    <xf numFmtId="0" fontId="18" fillId="13" borderId="29" xfId="0" applyFont="1" applyFill="1" applyBorder="1" applyAlignment="1">
      <alignment horizontal="center"/>
    </xf>
    <xf numFmtId="0" fontId="8" fillId="0" borderId="0" xfId="0" applyFont="1" applyAlignment="1">
      <alignment horizontal="center" vertical="center" wrapText="1"/>
    </xf>
    <xf numFmtId="0" fontId="8" fillId="0" borderId="30" xfId="0" applyFont="1" applyBorder="1" applyAlignment="1">
      <alignment horizontal="center" vertical="center"/>
    </xf>
    <xf numFmtId="0" fontId="18" fillId="13" borderId="50" xfId="0" applyFont="1" applyFill="1" applyBorder="1" applyAlignment="1">
      <alignment horizontal="center" vertical="center"/>
    </xf>
    <xf numFmtId="0" fontId="18" fillId="13" borderId="51" xfId="0" applyFont="1" applyFill="1" applyBorder="1" applyAlignment="1">
      <alignment horizontal="center" vertical="center"/>
    </xf>
    <xf numFmtId="0" fontId="18" fillId="13" borderId="58" xfId="0" applyFont="1" applyFill="1" applyBorder="1" applyAlignment="1">
      <alignment horizontal="center" vertical="center"/>
    </xf>
    <xf numFmtId="0" fontId="18" fillId="13" borderId="59" xfId="0" applyFont="1" applyFill="1" applyBorder="1" applyAlignment="1">
      <alignment horizontal="center" vertical="center"/>
    </xf>
    <xf numFmtId="0" fontId="18" fillId="13" borderId="28" xfId="0" applyFont="1" applyFill="1" applyBorder="1" applyAlignment="1">
      <alignment horizontal="center" vertical="center"/>
    </xf>
    <xf numFmtId="0" fontId="18" fillId="13" borderId="29" xfId="0" applyFont="1" applyFill="1" applyBorder="1" applyAlignment="1">
      <alignment horizontal="center" vertical="center"/>
    </xf>
    <xf numFmtId="0" fontId="2" fillId="16" borderId="22" xfId="0" applyFont="1" applyFill="1" applyBorder="1" applyAlignment="1">
      <alignment horizontal="center"/>
    </xf>
    <xf numFmtId="0" fontId="2" fillId="16" borderId="23" xfId="0" applyFont="1" applyFill="1" applyBorder="1" applyAlignment="1">
      <alignment horizontal="center"/>
    </xf>
    <xf numFmtId="0" fontId="2" fillId="16" borderId="32" xfId="0" applyFont="1" applyFill="1" applyBorder="1" applyAlignment="1">
      <alignment horizontal="center"/>
    </xf>
    <xf numFmtId="0" fontId="18" fillId="14" borderId="20" xfId="0" applyFont="1" applyFill="1" applyBorder="1" applyAlignment="1">
      <alignment horizontal="center"/>
    </xf>
    <xf numFmtId="0" fontId="18" fillId="14" borderId="25" xfId="0" applyFont="1" applyFill="1" applyBorder="1" applyAlignment="1">
      <alignment horizontal="center"/>
    </xf>
    <xf numFmtId="0" fontId="18" fillId="13" borderId="22" xfId="0" applyFont="1" applyFill="1" applyBorder="1" applyAlignment="1">
      <alignment horizontal="center"/>
    </xf>
    <xf numFmtId="0" fontId="18" fillId="13" borderId="23" xfId="0" applyFont="1" applyFill="1" applyBorder="1" applyAlignment="1">
      <alignment horizontal="center"/>
    </xf>
    <xf numFmtId="0" fontId="18" fillId="14" borderId="24" xfId="0" applyFont="1" applyFill="1" applyBorder="1" applyAlignment="1">
      <alignment horizontal="center" vertical="center"/>
    </xf>
    <xf numFmtId="0" fontId="18" fillId="14" borderId="10" xfId="0" applyFont="1" applyFill="1" applyBorder="1" applyAlignment="1">
      <alignment horizontal="center" vertical="center"/>
    </xf>
    <xf numFmtId="0" fontId="18" fillId="14" borderId="20" xfId="0" applyFont="1" applyFill="1" applyBorder="1" applyAlignment="1">
      <alignment horizontal="center" vertical="center"/>
    </xf>
    <xf numFmtId="0" fontId="18" fillId="14" borderId="21" xfId="0" applyFont="1" applyFill="1" applyBorder="1" applyAlignment="1">
      <alignment horizontal="center" vertical="center"/>
    </xf>
    <xf numFmtId="0" fontId="18" fillId="14" borderId="25" xfId="0" applyFont="1" applyFill="1" applyBorder="1" applyAlignment="1">
      <alignment horizontal="center" vertical="center"/>
    </xf>
    <xf numFmtId="0" fontId="16" fillId="0" borderId="15" xfId="0" applyFont="1" applyBorder="1" applyAlignment="1">
      <alignment horizontal="center" vertical="center"/>
    </xf>
    <xf numFmtId="0" fontId="16" fillId="0" borderId="0" xfId="0" applyFont="1" applyAlignment="1">
      <alignment horizontal="center" vertical="center"/>
    </xf>
    <xf numFmtId="0" fontId="16" fillId="0" borderId="16" xfId="0" applyFont="1" applyBorder="1" applyAlignment="1">
      <alignment horizontal="center" vertical="center"/>
    </xf>
    <xf numFmtId="0" fontId="16" fillId="0" borderId="1" xfId="0" applyFont="1" applyBorder="1" applyAlignment="1">
      <alignment horizontal="center" vertical="center"/>
    </xf>
    <xf numFmtId="0" fontId="9" fillId="3" borderId="20" xfId="0" applyFont="1" applyFill="1" applyBorder="1" applyAlignment="1">
      <alignment horizontal="center"/>
    </xf>
    <xf numFmtId="0" fontId="9" fillId="3" borderId="21" xfId="0" applyFont="1" applyFill="1" applyBorder="1" applyAlignment="1">
      <alignment horizontal="center"/>
    </xf>
    <xf numFmtId="0" fontId="9" fillId="2" borderId="21" xfId="0" applyFont="1" applyFill="1" applyBorder="1" applyAlignment="1">
      <alignment horizontal="center"/>
    </xf>
    <xf numFmtId="0" fontId="9" fillId="2" borderId="25" xfId="0" applyFont="1" applyFill="1" applyBorder="1" applyAlignment="1">
      <alignment horizontal="center"/>
    </xf>
    <xf numFmtId="0" fontId="23" fillId="3" borderId="4" xfId="0" applyFont="1" applyFill="1" applyBorder="1" applyAlignment="1">
      <alignment horizontal="center"/>
    </xf>
    <xf numFmtId="0" fontId="23" fillId="3" borderId="10" xfId="0" applyFont="1" applyFill="1" applyBorder="1" applyAlignment="1">
      <alignment horizontal="center"/>
    </xf>
    <xf numFmtId="0" fontId="9" fillId="11" borderId="0" xfId="0" applyFont="1" applyFill="1" applyAlignment="1">
      <alignment horizontal="center"/>
    </xf>
    <xf numFmtId="0" fontId="18" fillId="13" borderId="88" xfId="0" applyFont="1" applyFill="1" applyBorder="1" applyAlignment="1">
      <alignment horizontal="center" vertical="center"/>
    </xf>
    <xf numFmtId="0" fontId="18" fillId="13" borderId="89" xfId="0" applyFont="1" applyFill="1" applyBorder="1" applyAlignment="1">
      <alignment horizontal="center" vertical="center"/>
    </xf>
    <xf numFmtId="0" fontId="18" fillId="13" borderId="90" xfId="0" applyFont="1" applyFill="1" applyBorder="1" applyAlignment="1">
      <alignment horizontal="center" vertical="center"/>
    </xf>
    <xf numFmtId="0" fontId="8" fillId="0" borderId="91" xfId="0" applyFont="1" applyBorder="1" applyAlignment="1">
      <alignment horizontal="left" vertical="center"/>
    </xf>
    <xf numFmtId="0" fontId="8" fillId="0" borderId="8" xfId="0" applyFont="1" applyBorder="1" applyAlignment="1">
      <alignment horizontal="center" vertical="center" wrapText="1"/>
    </xf>
    <xf numFmtId="0" fontId="8" fillId="0" borderId="92" xfId="0" applyFont="1" applyBorder="1" applyAlignment="1">
      <alignment horizontal="center" vertical="center" wrapText="1"/>
    </xf>
  </cellXfs>
  <cellStyles count="8">
    <cellStyle name="Comma" xfId="7" builtinId="3"/>
    <cellStyle name="Hyperlink 2" xfId="2" xr:uid="{A8EBF829-FF66-4216-8B69-13232AEF2D27}"/>
    <cellStyle name="Normal" xfId="0" builtinId="0"/>
    <cellStyle name="Normal 2" xfId="1" xr:uid="{6D78DF33-AAD7-41ED-92DF-43D7764A43EB}"/>
    <cellStyle name="Normal 2 2" xfId="4" xr:uid="{85F4700A-D3DE-4BC0-B9CC-79287FABE4D6}"/>
    <cellStyle name="Normal 3" xfId="3" xr:uid="{5FE04FE5-509F-4211-B208-D82E46B0E039}"/>
    <cellStyle name="Normal 3 2" xfId="5" xr:uid="{9CBBDDDA-6E8C-E548-A4F1-C9D11B40886D}"/>
    <cellStyle name="Percent" xfId="6" builtinId="5"/>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Medium9"/>
  <colors>
    <mruColors>
      <color rgb="FFE1EFF2"/>
      <color rgb="FF11374C"/>
      <color rgb="FFD4ECDA"/>
      <color rgb="FFDCF0E1"/>
      <color rgb="FFCEEAD5"/>
      <color rgb="FFFFD5FD"/>
      <color rgb="FFFFA5FB"/>
      <color rgb="FF9DBBCB"/>
      <color rgb="FF3A7697"/>
      <color rgb="FFFFF4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30115RegassforGCsinEU/Delte%20dokumenter/General/8%20Deliverables/EU-US%20Policy%20Impact%20Model.xlsx" TargetMode="External"/><Relationship Id="rId2" Type="http://schemas.openxmlformats.org/officeDocument/2006/relationships/externalLinkPath" Target="https://zerocarbonshipping.sharepoint.com/sites/30115RegassforGCsinEU/Delte%20dokumenter/General/8%20Deliverables/EU-US%20Policy%20Impact%20Model.xlsx" TargetMode="External"/><Relationship Id="rId1" Type="http://schemas.openxmlformats.org/officeDocument/2006/relationships/externalLinkPath" Target="/sites/30115RegassforGCsinEU/Delte%20dokumenter/General/8%20Deliverables/EU-US%20Policy%20Impact%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sults"/>
      <sheetName val="RouteAssessment"/>
      <sheetName val="FuelEUPooling"/>
      <sheetName val="FuelEUCost"/>
      <sheetName val="ETS"/>
      <sheetName val="IRACredits"/>
      <sheetName val="GHG Factors v2"/>
      <sheetName val="FuelCost"/>
      <sheetName val="GHG Factors"/>
      <sheetName val="DD-Ammonia"/>
      <sheetName val="EnergyTransition"/>
      <sheetName val="Voyages"/>
      <sheetName val="Glossary"/>
      <sheetName val="FuelDefinitions"/>
      <sheetName val="Drop-Downs"/>
      <sheetName val="Questions and ToDo"/>
      <sheetName val="Gut Check"/>
      <sheetName val="Interaction"/>
      <sheetName val="FROM TMA"/>
      <sheetName val="OLDParameters"/>
      <sheetName val="OLD_CAPEX Calcul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Katalist Excel Theme">
  <a:themeElements>
    <a:clrScheme name="Katalist Excel Theme">
      <a:dk1>
        <a:srgbClr val="11374C"/>
      </a:dk1>
      <a:lt1>
        <a:srgbClr val="FFFFFF"/>
      </a:lt1>
      <a:dk2>
        <a:srgbClr val="3A7697"/>
      </a:dk2>
      <a:lt2>
        <a:srgbClr val="E1EFF2"/>
      </a:lt2>
      <a:accent1>
        <a:srgbClr val="B8E0C2"/>
      </a:accent1>
      <a:accent2>
        <a:srgbClr val="447A7A"/>
      </a:accent2>
      <a:accent3>
        <a:srgbClr val="C28080"/>
      </a:accent3>
      <a:accent4>
        <a:srgbClr val="FAC8C2"/>
      </a:accent4>
      <a:accent5>
        <a:srgbClr val="FFDBFD"/>
      </a:accent5>
      <a:accent6>
        <a:srgbClr val="FFF493"/>
      </a:accent6>
      <a:hlink>
        <a:srgbClr val="11374C"/>
      </a:hlink>
      <a:folHlink>
        <a:srgbClr val="3A7697"/>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A5A76947-49F2-4590-B0F6-6102E69F6606}">
  <we:reference id="29673e3c-d826-4f00-92ee-162334a52b1a" version="1.0.0.8" store="EXCatalog" storeType="EXCatalog"/>
  <we:alternateReferences>
    <we:reference id="WA200009404" version="1.0.0.8" store="en-US" storeType="OMEX"/>
  </we:alternateReferences>
  <we:properties>
    <we:property name="claude.fileId" value="&quot;567f1226-118d-46a1-bb80-8ef0152e44fd&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A64FD-16FE-4260-9496-2730FECE9539}">
  <sheetPr>
    <tabColor theme="2"/>
  </sheetPr>
  <dimension ref="B1:F41"/>
  <sheetViews>
    <sheetView showGridLines="0" topLeftCell="A8" zoomScale="70" zoomScaleNormal="70" workbookViewId="0">
      <selection activeCell="E45" sqref="E45"/>
    </sheetView>
  </sheetViews>
  <sheetFormatPr defaultColWidth="8.85546875" defaultRowHeight="15"/>
  <cols>
    <col min="1" max="1" width="1.7109375" customWidth="1"/>
    <col min="2" max="2" width="46.140625" style="1" customWidth="1"/>
    <col min="3" max="3" width="45.85546875" style="3" customWidth="1"/>
    <col min="4" max="4" width="23.5703125" style="1" customWidth="1"/>
    <col min="5" max="5" width="140" style="1" customWidth="1"/>
    <col min="6" max="6" width="253.7109375" style="1" customWidth="1"/>
    <col min="8" max="13" width="18.85546875" customWidth="1"/>
  </cols>
  <sheetData>
    <row r="1" spans="2:6">
      <c r="B1" s="4"/>
      <c r="C1" s="5"/>
      <c r="D1" s="4"/>
      <c r="E1" s="4"/>
      <c r="F1" s="4"/>
    </row>
    <row r="2" spans="2:6" ht="38.25" customHeight="1">
      <c r="B2" s="6" t="s">
        <v>0</v>
      </c>
      <c r="C2" s="7" t="s">
        <v>1</v>
      </c>
      <c r="D2" s="6" t="s">
        <v>2</v>
      </c>
      <c r="E2" s="6" t="s">
        <v>3</v>
      </c>
      <c r="F2" s="8" t="s">
        <v>4</v>
      </c>
    </row>
    <row r="3" spans="2:6" s="2" customFormat="1" ht="30" customHeight="1">
      <c r="B3" s="11" t="s">
        <v>5</v>
      </c>
      <c r="C3" s="25" t="s">
        <v>6</v>
      </c>
      <c r="D3" s="25" t="s">
        <v>7</v>
      </c>
      <c r="E3" s="25" t="s">
        <v>8</v>
      </c>
      <c r="F3" s="25"/>
    </row>
    <row r="4" spans="2:6" s="2" customFormat="1" ht="30" customHeight="1">
      <c r="B4" s="12"/>
      <c r="C4" s="25" t="s">
        <v>9</v>
      </c>
      <c r="D4" s="25" t="s">
        <v>7</v>
      </c>
      <c r="E4" s="25" t="s">
        <v>10</v>
      </c>
      <c r="F4" s="25"/>
    </row>
    <row r="5" spans="2:6" s="2" customFormat="1" ht="30" customHeight="1">
      <c r="B5" s="12"/>
      <c r="C5" s="25" t="s">
        <v>11</v>
      </c>
      <c r="D5" s="25" t="s">
        <v>7</v>
      </c>
      <c r="E5" s="25" t="s">
        <v>12</v>
      </c>
      <c r="F5" s="25" t="s">
        <v>13</v>
      </c>
    </row>
    <row r="6" spans="2:6" s="2" customFormat="1" ht="30" customHeight="1">
      <c r="B6" s="13"/>
      <c r="C6" s="25" t="s">
        <v>14</v>
      </c>
      <c r="D6" s="25" t="s">
        <v>7</v>
      </c>
      <c r="E6" s="25" t="s">
        <v>15</v>
      </c>
      <c r="F6" s="25"/>
    </row>
    <row r="7" spans="2:6" ht="30" customHeight="1">
      <c r="B7" s="14" t="s">
        <v>16</v>
      </c>
      <c r="C7" s="25" t="s">
        <v>17</v>
      </c>
      <c r="D7" s="25" t="s">
        <v>7</v>
      </c>
      <c r="E7" s="25" t="s">
        <v>18</v>
      </c>
      <c r="F7" s="25"/>
    </row>
    <row r="8" spans="2:6" ht="30" customHeight="1">
      <c r="B8" s="15"/>
      <c r="C8" s="25" t="s">
        <v>19</v>
      </c>
      <c r="D8" s="25" t="s">
        <v>7</v>
      </c>
      <c r="E8" s="25" t="s">
        <v>20</v>
      </c>
      <c r="F8" s="25"/>
    </row>
    <row r="9" spans="2:6" ht="30" customHeight="1">
      <c r="B9" s="15"/>
      <c r="C9" s="25" t="s">
        <v>21</v>
      </c>
      <c r="D9" s="25" t="s">
        <v>7</v>
      </c>
      <c r="E9" s="25" t="s">
        <v>22</v>
      </c>
      <c r="F9" s="25" t="s">
        <v>23</v>
      </c>
    </row>
    <row r="10" spans="2:6" ht="30" customHeight="1">
      <c r="B10" s="15"/>
      <c r="C10" s="25" t="s">
        <v>24</v>
      </c>
      <c r="D10" s="25" t="s">
        <v>7</v>
      </c>
      <c r="E10" s="25" t="s">
        <v>25</v>
      </c>
      <c r="F10" s="25"/>
    </row>
    <row r="11" spans="2:6" ht="30" customHeight="1">
      <c r="B11" s="15"/>
      <c r="C11" s="25" t="s">
        <v>26</v>
      </c>
      <c r="D11" s="25" t="s">
        <v>7</v>
      </c>
      <c r="E11" s="25" t="s">
        <v>27</v>
      </c>
      <c r="F11" s="25" t="s">
        <v>28</v>
      </c>
    </row>
    <row r="12" spans="2:6" ht="30" customHeight="1">
      <c r="B12" s="16"/>
      <c r="C12" s="25" t="s">
        <v>29</v>
      </c>
      <c r="D12" s="25" t="s">
        <v>7</v>
      </c>
      <c r="E12" s="25" t="s">
        <v>30</v>
      </c>
      <c r="F12" s="25"/>
    </row>
    <row r="13" spans="2:6" ht="30" customHeight="1">
      <c r="B13" s="17" t="s">
        <v>31</v>
      </c>
      <c r="C13" s="25" t="s">
        <v>32</v>
      </c>
      <c r="D13" s="25" t="s">
        <v>33</v>
      </c>
      <c r="E13" s="25" t="s">
        <v>34</v>
      </c>
      <c r="F13" s="25"/>
    </row>
    <row r="14" spans="2:6" ht="30" customHeight="1">
      <c r="B14" s="18"/>
      <c r="C14" s="25" t="s">
        <v>35</v>
      </c>
      <c r="D14" s="26" t="s">
        <v>7</v>
      </c>
      <c r="E14" s="26" t="s">
        <v>36</v>
      </c>
      <c r="F14" s="26" t="s">
        <v>37</v>
      </c>
    </row>
    <row r="15" spans="2:6" ht="30" customHeight="1">
      <c r="B15" s="18"/>
      <c r="C15" s="25" t="s">
        <v>38</v>
      </c>
      <c r="D15" s="25" t="s">
        <v>33</v>
      </c>
      <c r="E15" s="26" t="s">
        <v>39</v>
      </c>
      <c r="F15" s="26"/>
    </row>
    <row r="16" spans="2:6" ht="30" customHeight="1">
      <c r="B16" s="18"/>
      <c r="C16" s="25" t="s">
        <v>40</v>
      </c>
      <c r="D16" s="26" t="s">
        <v>7</v>
      </c>
      <c r="E16" s="26" t="s">
        <v>41</v>
      </c>
      <c r="F16" s="26" t="s">
        <v>37</v>
      </c>
    </row>
    <row r="17" spans="2:6" ht="30" customHeight="1">
      <c r="B17" s="18"/>
      <c r="C17" s="25" t="s">
        <v>42</v>
      </c>
      <c r="D17" s="25" t="s">
        <v>33</v>
      </c>
      <c r="E17" s="25" t="s">
        <v>43</v>
      </c>
      <c r="F17" s="25"/>
    </row>
    <row r="18" spans="2:6" ht="30" customHeight="1">
      <c r="B18" s="18"/>
      <c r="C18" s="25" t="s">
        <v>44</v>
      </c>
      <c r="D18" s="25" t="s">
        <v>45</v>
      </c>
      <c r="E18" s="25" t="s">
        <v>46</v>
      </c>
      <c r="F18" s="25"/>
    </row>
    <row r="19" spans="2:6" ht="30" customHeight="1">
      <c r="B19" s="18"/>
      <c r="C19" s="25" t="s">
        <v>47</v>
      </c>
      <c r="D19" s="25" t="s">
        <v>7</v>
      </c>
      <c r="E19" s="25" t="s">
        <v>48</v>
      </c>
      <c r="F19" s="25" t="s">
        <v>49</v>
      </c>
    </row>
    <row r="20" spans="2:6" ht="30" customHeight="1">
      <c r="B20" s="18"/>
      <c r="C20" s="25" t="s">
        <v>50</v>
      </c>
      <c r="D20" s="25" t="s">
        <v>7</v>
      </c>
      <c r="E20" s="25" t="s">
        <v>51</v>
      </c>
      <c r="F20" s="25" t="s">
        <v>52</v>
      </c>
    </row>
    <row r="21" spans="2:6" ht="30" customHeight="1">
      <c r="B21" s="19"/>
      <c r="C21" s="25" t="s">
        <v>53</v>
      </c>
      <c r="D21" s="25" t="s">
        <v>54</v>
      </c>
      <c r="E21" s="25" t="s">
        <v>55</v>
      </c>
      <c r="F21" s="25"/>
    </row>
    <row r="22" spans="2:6" ht="30" customHeight="1">
      <c r="B22" s="9" t="s">
        <v>56</v>
      </c>
      <c r="C22" s="25" t="s">
        <v>57</v>
      </c>
      <c r="D22" s="25" t="s">
        <v>54</v>
      </c>
      <c r="E22" s="25" t="s">
        <v>58</v>
      </c>
      <c r="F22" s="25"/>
    </row>
    <row r="23" spans="2:6" ht="30" customHeight="1">
      <c r="B23" s="10"/>
      <c r="C23" s="25" t="s">
        <v>59</v>
      </c>
      <c r="D23" s="25" t="s">
        <v>54</v>
      </c>
      <c r="E23" s="25" t="s">
        <v>60</v>
      </c>
      <c r="F23" s="25"/>
    </row>
    <row r="24" spans="2:6" ht="30" customHeight="1">
      <c r="B24" s="20" t="s">
        <v>61</v>
      </c>
      <c r="C24" s="25" t="s">
        <v>62</v>
      </c>
      <c r="D24" s="25" t="s">
        <v>7</v>
      </c>
      <c r="E24" s="25" t="s">
        <v>63</v>
      </c>
      <c r="F24" s="25"/>
    </row>
    <row r="25" spans="2:6" ht="30" customHeight="1">
      <c r="B25" s="21"/>
      <c r="C25" s="25" t="s">
        <v>64</v>
      </c>
      <c r="D25" s="25" t="s">
        <v>7</v>
      </c>
      <c r="E25" s="25" t="s">
        <v>65</v>
      </c>
      <c r="F25" s="25" t="s">
        <v>66</v>
      </c>
    </row>
    <row r="26" spans="2:6" ht="30" customHeight="1">
      <c r="B26" s="22" t="s">
        <v>67</v>
      </c>
      <c r="C26" s="25" t="s">
        <v>68</v>
      </c>
      <c r="D26" s="25" t="s">
        <v>7</v>
      </c>
      <c r="E26" s="25" t="s">
        <v>69</v>
      </c>
      <c r="F26" s="25" t="s">
        <v>70</v>
      </c>
    </row>
    <row r="27" spans="2:6" ht="30" customHeight="1">
      <c r="B27" s="23"/>
      <c r="C27" s="25" t="s">
        <v>71</v>
      </c>
      <c r="D27" s="25" t="s">
        <v>7</v>
      </c>
      <c r="E27" s="25" t="s">
        <v>72</v>
      </c>
      <c r="F27" s="25" t="s">
        <v>73</v>
      </c>
    </row>
    <row r="28" spans="2:6" ht="45">
      <c r="B28" s="23"/>
      <c r="C28" s="25" t="s">
        <v>74</v>
      </c>
      <c r="D28" s="25" t="s">
        <v>7</v>
      </c>
      <c r="E28" s="25" t="s">
        <v>75</v>
      </c>
      <c r="F28" s="25" t="s">
        <v>76</v>
      </c>
    </row>
    <row r="29" spans="2:6" ht="30" customHeight="1">
      <c r="B29" s="24"/>
      <c r="C29" s="30" t="s">
        <v>77</v>
      </c>
      <c r="D29" s="30" t="s">
        <v>78</v>
      </c>
      <c r="E29" s="30" t="s">
        <v>79</v>
      </c>
      <c r="F29" s="30"/>
    </row>
    <row r="30" spans="2:6" ht="30" customHeight="1">
      <c r="B30" s="27" t="s">
        <v>80</v>
      </c>
      <c r="C30" s="25" t="s">
        <v>81</v>
      </c>
      <c r="D30" s="25" t="s">
        <v>82</v>
      </c>
      <c r="E30" s="25" t="s">
        <v>83</v>
      </c>
      <c r="F30" s="25"/>
    </row>
    <row r="31" spans="2:6" ht="30" customHeight="1">
      <c r="B31" s="28"/>
      <c r="C31" s="25" t="s">
        <v>84</v>
      </c>
      <c r="D31" s="25" t="s">
        <v>85</v>
      </c>
      <c r="E31" s="25" t="s">
        <v>83</v>
      </c>
      <c r="F31" s="25"/>
    </row>
    <row r="32" spans="2:6" ht="30" customHeight="1">
      <c r="B32" s="28"/>
      <c r="C32" s="25" t="s">
        <v>86</v>
      </c>
      <c r="D32" s="25" t="s">
        <v>85</v>
      </c>
      <c r="E32" s="25" t="s">
        <v>87</v>
      </c>
      <c r="F32" s="25"/>
    </row>
    <row r="33" spans="2:6" ht="30" customHeight="1">
      <c r="B33" s="28"/>
      <c r="C33" s="25" t="s">
        <v>88</v>
      </c>
      <c r="D33" s="25" t="s">
        <v>89</v>
      </c>
      <c r="E33" s="25" t="s">
        <v>90</v>
      </c>
      <c r="F33" s="25"/>
    </row>
    <row r="34" spans="2:6" ht="30" customHeight="1">
      <c r="B34" s="28"/>
      <c r="C34" s="25" t="s">
        <v>91</v>
      </c>
      <c r="D34" s="25" t="s">
        <v>7</v>
      </c>
      <c r="E34" s="26" t="s">
        <v>92</v>
      </c>
      <c r="F34" s="26" t="s">
        <v>93</v>
      </c>
    </row>
    <row r="35" spans="2:6" ht="30" customHeight="1">
      <c r="B35" s="28"/>
      <c r="C35" s="25" t="s">
        <v>94</v>
      </c>
      <c r="D35" s="25" t="s">
        <v>7</v>
      </c>
      <c r="E35" s="26" t="s">
        <v>95</v>
      </c>
      <c r="F35" s="26"/>
    </row>
    <row r="36" spans="2:6" ht="30" customHeight="1">
      <c r="B36" s="28"/>
      <c r="C36" s="25" t="s">
        <v>96</v>
      </c>
      <c r="D36" s="25" t="s">
        <v>7</v>
      </c>
      <c r="E36" s="25" t="s">
        <v>97</v>
      </c>
      <c r="F36" s="25"/>
    </row>
    <row r="37" spans="2:6" ht="30" customHeight="1">
      <c r="B37" s="28"/>
      <c r="C37" s="25" t="s">
        <v>98</v>
      </c>
      <c r="D37" s="25" t="s">
        <v>7</v>
      </c>
      <c r="E37" s="25" t="s">
        <v>99</v>
      </c>
      <c r="F37" s="25" t="s">
        <v>100</v>
      </c>
    </row>
    <row r="38" spans="2:6" ht="30" customHeight="1">
      <c r="B38" s="28"/>
      <c r="C38" s="25" t="s">
        <v>101</v>
      </c>
      <c r="D38" s="25" t="s">
        <v>102</v>
      </c>
      <c r="E38" s="25" t="s">
        <v>103</v>
      </c>
      <c r="F38" s="25"/>
    </row>
    <row r="39" spans="2:6" ht="30" customHeight="1">
      <c r="B39" s="29"/>
      <c r="C39" s="25" t="s">
        <v>104</v>
      </c>
      <c r="D39" s="25" t="s">
        <v>54</v>
      </c>
      <c r="E39" s="25" t="s">
        <v>105</v>
      </c>
      <c r="F39" s="25"/>
    </row>
    <row r="40" spans="2:6" ht="30" customHeight="1">
      <c r="C40" s="1"/>
    </row>
    <row r="41" spans="2:6">
      <c r="B41" s="7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E3B39-5FBA-416E-9C17-CB506EA455B1}">
  <sheetPr>
    <tabColor theme="9" tint="0.79998168889431442"/>
  </sheetPr>
  <dimension ref="A1:AF89"/>
  <sheetViews>
    <sheetView showGridLines="0" tabSelected="1" topLeftCell="F14" zoomScale="70" zoomScaleNormal="70" workbookViewId="0">
      <selection activeCell="P38" sqref="P38"/>
    </sheetView>
  </sheetViews>
  <sheetFormatPr defaultColWidth="9.140625" defaultRowHeight="15" outlineLevelRow="1"/>
  <cols>
    <col min="1" max="1" width="2.7109375" style="31" customWidth="1"/>
    <col min="2" max="2" width="27.28515625" style="31" customWidth="1"/>
    <col min="3" max="11" width="32.7109375" style="31" customWidth="1"/>
    <col min="12" max="12" width="28.7109375" style="31" customWidth="1"/>
    <col min="13" max="18" width="32.7109375" style="31" customWidth="1"/>
    <col min="19" max="22" width="24.85546875" style="31" customWidth="1"/>
    <col min="23" max="23" width="23.5703125" style="31" customWidth="1"/>
    <col min="24" max="24" width="32.7109375" style="31" customWidth="1"/>
    <col min="25" max="32" width="55.7109375" style="31" customWidth="1"/>
    <col min="33" max="16384" width="9.140625" style="31"/>
  </cols>
  <sheetData>
    <row r="1" spans="1:32" ht="5.0999999999999996" customHeight="1" thickBot="1"/>
    <row r="2" spans="1:32" s="32" customFormat="1" ht="15.75" thickBot="1">
      <c r="B2" s="87" t="s">
        <v>106</v>
      </c>
      <c r="C2" s="207" t="s">
        <v>107</v>
      </c>
    </row>
    <row r="3" spans="1:32" ht="5.0999999999999996" customHeight="1" thickBot="1"/>
    <row r="4" spans="1:32" ht="15" customHeight="1" thickBot="1">
      <c r="A4" s="393"/>
      <c r="B4" s="394" t="s">
        <v>108</v>
      </c>
      <c r="C4" s="405" t="s">
        <v>109</v>
      </c>
      <c r="D4" s="406"/>
      <c r="E4" s="406"/>
      <c r="F4" s="406"/>
      <c r="G4" s="406"/>
      <c r="H4" s="406"/>
      <c r="I4" s="406"/>
      <c r="J4" s="406"/>
      <c r="K4" s="406"/>
      <c r="L4" s="396" t="s">
        <v>110</v>
      </c>
      <c r="M4" s="397"/>
      <c r="N4" s="397"/>
      <c r="O4" s="397"/>
      <c r="P4" s="397"/>
      <c r="Q4" s="397"/>
      <c r="R4" s="397"/>
      <c r="S4" s="398"/>
      <c r="T4" s="398"/>
      <c r="U4" s="398"/>
      <c r="V4" s="398"/>
      <c r="W4" s="398"/>
      <c r="X4" s="399"/>
      <c r="Y4" s="88"/>
      <c r="Z4" s="88"/>
      <c r="AA4" s="88"/>
      <c r="AB4" s="88"/>
      <c r="AC4" s="88"/>
      <c r="AD4" s="88"/>
      <c r="AE4" s="88"/>
      <c r="AF4" s="89"/>
    </row>
    <row r="5" spans="1:32">
      <c r="A5" s="393"/>
      <c r="B5" s="395"/>
      <c r="C5" s="407" t="s">
        <v>111</v>
      </c>
      <c r="D5" s="408"/>
      <c r="E5" s="408"/>
      <c r="F5" s="408"/>
      <c r="G5" s="408"/>
      <c r="H5" s="408"/>
      <c r="I5" s="408"/>
      <c r="J5" s="408"/>
      <c r="K5" s="408"/>
      <c r="L5" s="409" t="s">
        <v>112</v>
      </c>
      <c r="M5" s="410"/>
      <c r="N5" s="410"/>
      <c r="O5" s="410"/>
      <c r="P5" s="410"/>
      <c r="Q5" s="410"/>
      <c r="R5" s="411"/>
      <c r="S5" s="400" t="s">
        <v>113</v>
      </c>
      <c r="T5" s="401"/>
      <c r="U5" s="401"/>
      <c r="V5" s="402"/>
      <c r="W5" s="403" t="s">
        <v>114</v>
      </c>
      <c r="X5" s="404"/>
      <c r="Y5" s="386" t="s">
        <v>115</v>
      </c>
      <c r="Z5" s="386"/>
      <c r="AA5" s="386"/>
      <c r="AB5" s="387"/>
      <c r="AC5" s="388" t="s">
        <v>116</v>
      </c>
      <c r="AD5" s="386"/>
      <c r="AE5" s="386"/>
      <c r="AF5" s="387"/>
    </row>
    <row r="6" spans="1:32">
      <c r="A6" s="90"/>
      <c r="B6" s="91" t="s">
        <v>117</v>
      </c>
      <c r="C6" s="92" t="s">
        <v>118</v>
      </c>
      <c r="D6" s="93" t="s">
        <v>9</v>
      </c>
      <c r="E6" s="93" t="s">
        <v>11</v>
      </c>
      <c r="F6" s="93" t="str">
        <f>+IF(E8="Shipowner","Name of Ship operator",IF(E8="","n/a","Name of Shipowner"))</f>
        <v>n/a</v>
      </c>
      <c r="G6" s="93" t="s">
        <v>17</v>
      </c>
      <c r="H6" s="93" t="s">
        <v>19</v>
      </c>
      <c r="I6" s="93" t="s">
        <v>21</v>
      </c>
      <c r="J6" s="93" t="s">
        <v>24</v>
      </c>
      <c r="K6" s="94" t="s">
        <v>26</v>
      </c>
      <c r="L6" s="92" t="s">
        <v>119</v>
      </c>
      <c r="M6" s="93" t="s">
        <v>32</v>
      </c>
      <c r="N6" s="93" t="s">
        <v>35</v>
      </c>
      <c r="O6" s="93" t="s">
        <v>38</v>
      </c>
      <c r="P6" s="93" t="s">
        <v>40</v>
      </c>
      <c r="Q6" s="93" t="s">
        <v>42</v>
      </c>
      <c r="R6" s="95" t="s">
        <v>120</v>
      </c>
      <c r="S6" s="210"/>
      <c r="T6" s="211"/>
      <c r="U6" s="211"/>
      <c r="V6" s="212"/>
      <c r="W6" s="92" t="s">
        <v>62</v>
      </c>
      <c r="X6" s="95" t="s">
        <v>121</v>
      </c>
      <c r="Y6" s="172" t="str">
        <f>+IF(S6="Alternative Fuel 1","Amount of Alternative Fuel 1 used under EU ETS","n/a")</f>
        <v>n/a</v>
      </c>
      <c r="Z6" s="151" t="str">
        <f>+IF(T6="Alternative Fuel 2","Amount of Alternative Fuel 2 used under EU ETS","n/a")</f>
        <v>n/a</v>
      </c>
      <c r="AA6" s="151" t="str">
        <f>+IF(U6="Alternative Fuel 3","Amount of Alternative Fuel 3 used under EU ETS","n/a")</f>
        <v>n/a</v>
      </c>
      <c r="AB6" s="152" t="str">
        <f>+IF(V6="Alternative Fuel 4","Amount of Alternative Fuel 4 used under EU ETS","n/a")</f>
        <v>n/a</v>
      </c>
      <c r="AC6" s="150" t="str">
        <f>+IF(S6="Alternative Fuel 1","Amount of Alternative Fuel 1 used to comply with FuelEU","n/a")</f>
        <v>n/a</v>
      </c>
      <c r="AD6" s="151" t="str">
        <f>+IF(T6="Alternative Fuel 2","Amount of Alternative Fuel 2 used to comply with FuelEU","n/a")</f>
        <v>n/a</v>
      </c>
      <c r="AE6" s="151" t="str">
        <f>+IF(U6="Alternative Fuel 3","Amount of Alternative Fuel 3 used to comply with FuelEU","n/a")</f>
        <v>n/a</v>
      </c>
      <c r="AF6" s="152" t="str">
        <f>+IF(V6="Alternative Fuel 4","Amount of Alternative Fuel 4 used to comply with FuelEU","n/a")</f>
        <v>n/a</v>
      </c>
    </row>
    <row r="7" spans="1:32">
      <c r="A7" s="96"/>
      <c r="B7" s="91" t="s">
        <v>122</v>
      </c>
      <c r="C7" s="92" t="s">
        <v>123</v>
      </c>
      <c r="D7" s="93" t="s">
        <v>123</v>
      </c>
      <c r="E7" s="97" t="s">
        <v>123</v>
      </c>
      <c r="F7" s="93"/>
      <c r="G7" s="93" t="s">
        <v>122</v>
      </c>
      <c r="H7" s="93" t="s">
        <v>123</v>
      </c>
      <c r="I7" s="93" t="s">
        <v>123</v>
      </c>
      <c r="J7" s="93" t="s">
        <v>123</v>
      </c>
      <c r="K7" s="94" t="s">
        <v>123</v>
      </c>
      <c r="L7" s="92" t="s">
        <v>123</v>
      </c>
      <c r="M7" s="93" t="s">
        <v>33</v>
      </c>
      <c r="N7" s="93" t="s">
        <v>123</v>
      </c>
      <c r="O7" s="93" t="s">
        <v>33</v>
      </c>
      <c r="P7" s="93" t="s">
        <v>123</v>
      </c>
      <c r="Q7" s="93" t="s">
        <v>33</v>
      </c>
      <c r="R7" s="95" t="s">
        <v>124</v>
      </c>
      <c r="S7" s="172" t="s">
        <v>125</v>
      </c>
      <c r="T7" s="151" t="s">
        <v>125</v>
      </c>
      <c r="U7" s="151" t="s">
        <v>125</v>
      </c>
      <c r="V7" s="152" t="s">
        <v>125</v>
      </c>
      <c r="W7" s="98" t="s">
        <v>123</v>
      </c>
      <c r="X7" s="99" t="s">
        <v>123</v>
      </c>
      <c r="Y7" s="172" t="s">
        <v>125</v>
      </c>
      <c r="Z7" s="151" t="s">
        <v>125</v>
      </c>
      <c r="AA7" s="151" t="s">
        <v>125</v>
      </c>
      <c r="AB7" s="152" t="s">
        <v>125</v>
      </c>
      <c r="AC7" s="150" t="s">
        <v>125</v>
      </c>
      <c r="AD7" s="151" t="s">
        <v>125</v>
      </c>
      <c r="AE7" s="151" t="s">
        <v>125</v>
      </c>
      <c r="AF7" s="152" t="s">
        <v>125</v>
      </c>
    </row>
    <row r="8" spans="1:32">
      <c r="A8" s="392"/>
      <c r="B8" s="100">
        <v>1</v>
      </c>
      <c r="C8" s="269"/>
      <c r="D8" s="270"/>
      <c r="E8" s="206"/>
      <c r="F8" s="271"/>
      <c r="G8" s="272"/>
      <c r="H8" s="271"/>
      <c r="I8" s="208"/>
      <c r="J8" s="273"/>
      <c r="K8" s="209"/>
      <c r="L8" s="274"/>
      <c r="M8" s="346"/>
      <c r="N8" s="347"/>
      <c r="O8" s="346"/>
      <c r="P8" s="109"/>
      <c r="Q8" s="103"/>
      <c r="R8" s="348"/>
      <c r="S8" s="349"/>
      <c r="T8" s="350"/>
      <c r="U8" s="351"/>
      <c r="V8" s="352"/>
      <c r="W8" s="353"/>
      <c r="X8" s="213"/>
      <c r="Y8" s="258"/>
      <c r="Z8" s="259"/>
      <c r="AA8" s="260"/>
      <c r="AB8" s="261"/>
      <c r="AC8" s="262"/>
      <c r="AD8" s="260"/>
      <c r="AE8" s="260"/>
      <c r="AF8" s="107"/>
    </row>
    <row r="9" spans="1:32" ht="15" customHeight="1">
      <c r="A9" s="392"/>
      <c r="B9" s="100">
        <f>+B8+1</f>
        <v>2</v>
      </c>
      <c r="C9" s="412" t="s">
        <v>126</v>
      </c>
      <c r="D9" s="413"/>
      <c r="E9" s="413"/>
      <c r="F9" s="413"/>
      <c r="G9" s="413"/>
      <c r="H9" s="413"/>
      <c r="I9" s="413"/>
      <c r="J9" s="413"/>
      <c r="K9" s="413"/>
      <c r="L9" s="111"/>
      <c r="M9" s="103"/>
      <c r="N9" s="112"/>
      <c r="O9" s="103"/>
      <c r="P9" s="102"/>
      <c r="Q9" s="103"/>
      <c r="R9" s="105"/>
      <c r="S9" s="354"/>
      <c r="T9" s="355"/>
      <c r="U9" s="356"/>
      <c r="V9" s="357"/>
      <c r="W9" s="108"/>
      <c r="X9" s="213"/>
      <c r="Y9" s="110"/>
      <c r="Z9" s="263"/>
      <c r="AA9" s="106"/>
      <c r="AB9" s="264"/>
      <c r="AC9" s="265"/>
      <c r="AD9" s="106"/>
      <c r="AE9" s="106"/>
      <c r="AF9" s="107"/>
    </row>
    <row r="10" spans="1:32" ht="15" customHeight="1">
      <c r="A10" s="392"/>
      <c r="B10" s="100">
        <f t="shared" ref="B10:B27" si="0">+B9+1</f>
        <v>3</v>
      </c>
      <c r="C10" s="412"/>
      <c r="D10" s="413"/>
      <c r="E10" s="413"/>
      <c r="F10" s="413"/>
      <c r="G10" s="413"/>
      <c r="H10" s="413"/>
      <c r="I10" s="413"/>
      <c r="J10" s="413"/>
      <c r="K10" s="413"/>
      <c r="L10" s="111"/>
      <c r="M10" s="103"/>
      <c r="N10" s="112"/>
      <c r="O10" s="103"/>
      <c r="P10" s="102"/>
      <c r="Q10" s="103"/>
      <c r="R10" s="105"/>
      <c r="S10" s="354"/>
      <c r="T10" s="355"/>
      <c r="U10" s="356"/>
      <c r="V10" s="357"/>
      <c r="W10" s="108"/>
      <c r="X10" s="213"/>
      <c r="Y10" s="110"/>
      <c r="Z10" s="263"/>
      <c r="AA10" s="106"/>
      <c r="AB10" s="264"/>
      <c r="AC10" s="265"/>
      <c r="AD10" s="106"/>
      <c r="AE10" s="106"/>
      <c r="AF10" s="107"/>
    </row>
    <row r="11" spans="1:32" ht="15" customHeight="1">
      <c r="A11" s="392"/>
      <c r="B11" s="100">
        <f t="shared" si="0"/>
        <v>4</v>
      </c>
      <c r="C11" s="412"/>
      <c r="D11" s="413"/>
      <c r="E11" s="413"/>
      <c r="F11" s="413"/>
      <c r="G11" s="413"/>
      <c r="H11" s="413"/>
      <c r="I11" s="413"/>
      <c r="J11" s="413"/>
      <c r="K11" s="413"/>
      <c r="L11" s="111"/>
      <c r="M11" s="103"/>
      <c r="N11" s="112"/>
      <c r="O11" s="103"/>
      <c r="P11" s="102"/>
      <c r="Q11" s="103"/>
      <c r="R11" s="105"/>
      <c r="S11" s="354"/>
      <c r="T11" s="355"/>
      <c r="U11" s="356"/>
      <c r="V11" s="357"/>
      <c r="W11" s="108"/>
      <c r="X11" s="213"/>
      <c r="Y11" s="110"/>
      <c r="Z11" s="263"/>
      <c r="AA11" s="106"/>
      <c r="AB11" s="264"/>
      <c r="AC11" s="265"/>
      <c r="AD11" s="106"/>
      <c r="AE11" s="106"/>
      <c r="AF11" s="107"/>
    </row>
    <row r="12" spans="1:32" ht="15" customHeight="1">
      <c r="A12" s="392"/>
      <c r="B12" s="100">
        <f t="shared" si="0"/>
        <v>5</v>
      </c>
      <c r="C12" s="412"/>
      <c r="D12" s="413"/>
      <c r="E12" s="413"/>
      <c r="F12" s="413"/>
      <c r="G12" s="413"/>
      <c r="H12" s="413"/>
      <c r="I12" s="413"/>
      <c r="J12" s="413"/>
      <c r="K12" s="413"/>
      <c r="L12" s="111"/>
      <c r="M12" s="103"/>
      <c r="N12" s="112"/>
      <c r="O12" s="103"/>
      <c r="P12" s="102"/>
      <c r="Q12" s="103"/>
      <c r="R12" s="105"/>
      <c r="S12" s="358"/>
      <c r="T12" s="356"/>
      <c r="U12" s="356"/>
      <c r="V12" s="357"/>
      <c r="W12" s="108"/>
      <c r="X12" s="213"/>
      <c r="Y12" s="110"/>
      <c r="Z12" s="263"/>
      <c r="AA12" s="106"/>
      <c r="AB12" s="264"/>
      <c r="AC12" s="265"/>
      <c r="AD12" s="106"/>
      <c r="AE12" s="106"/>
      <c r="AF12" s="107"/>
    </row>
    <row r="13" spans="1:32" ht="15" customHeight="1">
      <c r="A13" s="392"/>
      <c r="B13" s="100">
        <f t="shared" si="0"/>
        <v>6</v>
      </c>
      <c r="C13" s="412"/>
      <c r="D13" s="413"/>
      <c r="E13" s="413"/>
      <c r="F13" s="413"/>
      <c r="G13" s="413"/>
      <c r="H13" s="413"/>
      <c r="I13" s="413"/>
      <c r="J13" s="413"/>
      <c r="K13" s="413"/>
      <c r="L13" s="111"/>
      <c r="M13" s="103"/>
      <c r="N13" s="112"/>
      <c r="O13" s="103"/>
      <c r="P13" s="102"/>
      <c r="Q13" s="103"/>
      <c r="R13" s="105"/>
      <c r="S13" s="358"/>
      <c r="T13" s="356"/>
      <c r="U13" s="356"/>
      <c r="V13" s="357"/>
      <c r="W13" s="108"/>
      <c r="X13" s="213"/>
      <c r="Y13" s="110"/>
      <c r="Z13" s="263"/>
      <c r="AA13" s="106"/>
      <c r="AB13" s="264"/>
      <c r="AC13" s="265"/>
      <c r="AD13" s="106"/>
      <c r="AE13" s="106"/>
      <c r="AF13" s="107"/>
    </row>
    <row r="14" spans="1:32" ht="15" customHeight="1">
      <c r="A14" s="392"/>
      <c r="B14" s="100">
        <f t="shared" si="0"/>
        <v>7</v>
      </c>
      <c r="C14" s="412"/>
      <c r="D14" s="413"/>
      <c r="E14" s="413"/>
      <c r="F14" s="413"/>
      <c r="G14" s="413"/>
      <c r="H14" s="413"/>
      <c r="I14" s="413"/>
      <c r="J14" s="413"/>
      <c r="K14" s="413"/>
      <c r="L14" s="111"/>
      <c r="M14" s="103"/>
      <c r="N14" s="112"/>
      <c r="O14" s="103"/>
      <c r="P14" s="102"/>
      <c r="Q14" s="103"/>
      <c r="R14" s="105"/>
      <c r="S14" s="358"/>
      <c r="T14" s="356"/>
      <c r="U14" s="356"/>
      <c r="V14" s="357"/>
      <c r="W14" s="108"/>
      <c r="X14" s="213"/>
      <c r="Y14" s="110"/>
      <c r="Z14" s="263"/>
      <c r="AA14" s="106"/>
      <c r="AB14" s="264"/>
      <c r="AC14" s="265"/>
      <c r="AD14" s="106"/>
      <c r="AE14" s="106"/>
      <c r="AF14" s="107"/>
    </row>
    <row r="15" spans="1:32" ht="15" customHeight="1">
      <c r="A15" s="392"/>
      <c r="B15" s="100">
        <f t="shared" si="0"/>
        <v>8</v>
      </c>
      <c r="C15" s="412"/>
      <c r="D15" s="413"/>
      <c r="E15" s="413"/>
      <c r="F15" s="413"/>
      <c r="G15" s="413"/>
      <c r="H15" s="413"/>
      <c r="I15" s="413"/>
      <c r="J15" s="413"/>
      <c r="K15" s="413"/>
      <c r="L15" s="111"/>
      <c r="M15" s="103"/>
      <c r="N15" s="112"/>
      <c r="O15" s="103"/>
      <c r="P15" s="102"/>
      <c r="Q15" s="103"/>
      <c r="R15" s="105"/>
      <c r="S15" s="358"/>
      <c r="T15" s="356"/>
      <c r="U15" s="356"/>
      <c r="V15" s="357"/>
      <c r="W15" s="108"/>
      <c r="X15" s="213"/>
      <c r="Y15" s="110"/>
      <c r="Z15" s="263"/>
      <c r="AA15" s="106"/>
      <c r="AB15" s="264"/>
      <c r="AC15" s="265"/>
      <c r="AD15" s="106"/>
      <c r="AE15" s="106"/>
      <c r="AF15" s="107"/>
    </row>
    <row r="16" spans="1:32" ht="15" customHeight="1">
      <c r="A16" s="392"/>
      <c r="B16" s="100">
        <f t="shared" si="0"/>
        <v>9</v>
      </c>
      <c r="C16" s="412"/>
      <c r="D16" s="413"/>
      <c r="E16" s="413"/>
      <c r="F16" s="413"/>
      <c r="G16" s="413"/>
      <c r="H16" s="413"/>
      <c r="I16" s="413"/>
      <c r="J16" s="413"/>
      <c r="K16" s="413"/>
      <c r="L16" s="111"/>
      <c r="M16" s="103"/>
      <c r="N16" s="112"/>
      <c r="O16" s="103"/>
      <c r="P16" s="102"/>
      <c r="Q16" s="103"/>
      <c r="R16" s="105"/>
      <c r="S16" s="358"/>
      <c r="T16" s="356"/>
      <c r="U16" s="356"/>
      <c r="V16" s="357"/>
      <c r="W16" s="108"/>
      <c r="X16" s="213"/>
      <c r="Y16" s="110"/>
      <c r="Z16" s="263"/>
      <c r="AA16" s="106"/>
      <c r="AB16" s="264"/>
      <c r="AC16" s="265"/>
      <c r="AD16" s="106"/>
      <c r="AE16" s="106"/>
      <c r="AF16" s="107"/>
    </row>
    <row r="17" spans="1:32" ht="15" customHeight="1">
      <c r="A17" s="392"/>
      <c r="B17" s="100">
        <f t="shared" si="0"/>
        <v>10</v>
      </c>
      <c r="C17" s="412"/>
      <c r="D17" s="413"/>
      <c r="E17" s="413"/>
      <c r="F17" s="413"/>
      <c r="G17" s="413"/>
      <c r="H17" s="413"/>
      <c r="I17" s="413"/>
      <c r="J17" s="413"/>
      <c r="K17" s="413"/>
      <c r="L17" s="111"/>
      <c r="M17" s="112"/>
      <c r="N17" s="102"/>
      <c r="O17" s="103"/>
      <c r="P17" s="102"/>
      <c r="Q17" s="104"/>
      <c r="R17" s="105"/>
      <c r="S17" s="110"/>
      <c r="T17" s="106"/>
      <c r="U17" s="106"/>
      <c r="V17" s="107"/>
      <c r="W17" s="108"/>
      <c r="X17" s="213"/>
      <c r="Y17" s="110"/>
      <c r="Z17" s="263"/>
      <c r="AA17" s="106"/>
      <c r="AB17" s="264"/>
      <c r="AC17" s="265"/>
      <c r="AD17" s="106"/>
      <c r="AE17" s="106"/>
      <c r="AF17" s="107"/>
    </row>
    <row r="18" spans="1:32" ht="15" customHeight="1">
      <c r="A18" s="392"/>
      <c r="B18" s="100">
        <f t="shared" si="0"/>
        <v>11</v>
      </c>
      <c r="C18" s="412"/>
      <c r="D18" s="413"/>
      <c r="E18" s="413"/>
      <c r="F18" s="413"/>
      <c r="G18" s="413"/>
      <c r="H18" s="413"/>
      <c r="I18" s="413"/>
      <c r="J18" s="413"/>
      <c r="K18" s="413"/>
      <c r="L18" s="111"/>
      <c r="M18" s="112"/>
      <c r="N18" s="102"/>
      <c r="O18" s="103"/>
      <c r="P18" s="102"/>
      <c r="Q18" s="104"/>
      <c r="R18" s="105"/>
      <c r="S18" s="110"/>
      <c r="T18" s="106"/>
      <c r="U18" s="106"/>
      <c r="V18" s="107"/>
      <c r="W18" s="108"/>
      <c r="X18" s="213"/>
      <c r="Y18" s="110"/>
      <c r="Z18" s="263"/>
      <c r="AA18" s="106"/>
      <c r="AB18" s="264"/>
      <c r="AC18" s="265"/>
      <c r="AD18" s="106"/>
      <c r="AE18" s="106"/>
      <c r="AF18" s="107"/>
    </row>
    <row r="19" spans="1:32" ht="15" customHeight="1">
      <c r="A19" s="392"/>
      <c r="B19" s="100">
        <f t="shared" si="0"/>
        <v>12</v>
      </c>
      <c r="C19" s="412"/>
      <c r="D19" s="413"/>
      <c r="E19" s="413"/>
      <c r="F19" s="413"/>
      <c r="G19" s="413"/>
      <c r="H19" s="413"/>
      <c r="I19" s="413"/>
      <c r="J19" s="413"/>
      <c r="K19" s="413"/>
      <c r="L19" s="111"/>
      <c r="M19" s="112"/>
      <c r="N19" s="102"/>
      <c r="O19" s="103"/>
      <c r="P19" s="102"/>
      <c r="Q19" s="104"/>
      <c r="R19" s="105"/>
      <c r="S19" s="110"/>
      <c r="T19" s="106"/>
      <c r="U19" s="106"/>
      <c r="V19" s="107"/>
      <c r="W19" s="108"/>
      <c r="X19" s="213"/>
      <c r="Y19" s="110"/>
      <c r="Z19" s="263"/>
      <c r="AA19" s="106"/>
      <c r="AB19" s="264"/>
      <c r="AC19" s="265"/>
      <c r="AD19" s="106"/>
      <c r="AE19" s="106"/>
      <c r="AF19" s="107"/>
    </row>
    <row r="20" spans="1:32" ht="15" customHeight="1">
      <c r="A20" s="392"/>
      <c r="B20" s="100">
        <f t="shared" si="0"/>
        <v>13</v>
      </c>
      <c r="C20" s="412"/>
      <c r="D20" s="413"/>
      <c r="E20" s="413"/>
      <c r="F20" s="413"/>
      <c r="G20" s="413"/>
      <c r="H20" s="413"/>
      <c r="I20" s="413"/>
      <c r="J20" s="413"/>
      <c r="K20" s="413"/>
      <c r="L20" s="111"/>
      <c r="M20" s="112"/>
      <c r="N20" s="102"/>
      <c r="O20" s="103"/>
      <c r="P20" s="102"/>
      <c r="Q20" s="104"/>
      <c r="R20" s="105"/>
      <c r="S20" s="110"/>
      <c r="T20" s="106"/>
      <c r="U20" s="106"/>
      <c r="V20" s="107"/>
      <c r="W20" s="108"/>
      <c r="X20" s="213"/>
      <c r="Y20" s="110"/>
      <c r="Z20" s="263"/>
      <c r="AA20" s="106"/>
      <c r="AB20" s="264"/>
      <c r="AC20" s="265"/>
      <c r="AD20" s="106"/>
      <c r="AE20" s="106"/>
      <c r="AF20" s="107"/>
    </row>
    <row r="21" spans="1:32" ht="15" customHeight="1">
      <c r="A21" s="392"/>
      <c r="B21" s="100">
        <f t="shared" si="0"/>
        <v>14</v>
      </c>
      <c r="C21" s="412"/>
      <c r="D21" s="413"/>
      <c r="E21" s="413"/>
      <c r="F21" s="413"/>
      <c r="G21" s="413"/>
      <c r="H21" s="413"/>
      <c r="I21" s="413"/>
      <c r="J21" s="413"/>
      <c r="K21" s="413"/>
      <c r="L21" s="111"/>
      <c r="M21" s="112"/>
      <c r="N21" s="102"/>
      <c r="O21" s="103"/>
      <c r="P21" s="102"/>
      <c r="Q21" s="104"/>
      <c r="R21" s="105"/>
      <c r="S21" s="110"/>
      <c r="T21" s="106"/>
      <c r="U21" s="106"/>
      <c r="V21" s="107"/>
      <c r="W21" s="108"/>
      <c r="X21" s="213"/>
      <c r="Y21" s="110"/>
      <c r="Z21" s="263"/>
      <c r="AA21" s="106"/>
      <c r="AB21" s="264"/>
      <c r="AC21" s="265"/>
      <c r="AD21" s="106"/>
      <c r="AE21" s="106"/>
      <c r="AF21" s="107"/>
    </row>
    <row r="22" spans="1:32" ht="15" customHeight="1">
      <c r="A22" s="392"/>
      <c r="B22" s="100">
        <f t="shared" si="0"/>
        <v>15</v>
      </c>
      <c r="C22" s="412"/>
      <c r="D22" s="413"/>
      <c r="E22" s="413"/>
      <c r="F22" s="413"/>
      <c r="G22" s="413"/>
      <c r="H22" s="413"/>
      <c r="I22" s="413"/>
      <c r="J22" s="413"/>
      <c r="K22" s="413"/>
      <c r="L22" s="111"/>
      <c r="M22" s="112"/>
      <c r="N22" s="102"/>
      <c r="O22" s="103"/>
      <c r="P22" s="102"/>
      <c r="Q22" s="104"/>
      <c r="R22" s="105"/>
      <c r="S22" s="110"/>
      <c r="T22" s="106"/>
      <c r="U22" s="106"/>
      <c r="V22" s="107"/>
      <c r="W22" s="108"/>
      <c r="X22" s="213"/>
      <c r="Y22" s="110"/>
      <c r="Z22" s="263"/>
      <c r="AA22" s="106"/>
      <c r="AB22" s="264"/>
      <c r="AC22" s="265"/>
      <c r="AD22" s="106"/>
      <c r="AE22" s="106"/>
      <c r="AF22" s="107"/>
    </row>
    <row r="23" spans="1:32" ht="15" customHeight="1">
      <c r="A23" s="392"/>
      <c r="B23" s="100">
        <f t="shared" si="0"/>
        <v>16</v>
      </c>
      <c r="C23" s="412"/>
      <c r="D23" s="413"/>
      <c r="E23" s="413"/>
      <c r="F23" s="413"/>
      <c r="G23" s="413"/>
      <c r="H23" s="413"/>
      <c r="I23" s="413"/>
      <c r="J23" s="413"/>
      <c r="K23" s="413"/>
      <c r="L23" s="111"/>
      <c r="M23" s="112"/>
      <c r="N23" s="102"/>
      <c r="O23" s="103"/>
      <c r="P23" s="102"/>
      <c r="Q23" s="104"/>
      <c r="R23" s="105"/>
      <c r="S23" s="110"/>
      <c r="T23" s="106"/>
      <c r="U23" s="106"/>
      <c r="V23" s="107"/>
      <c r="W23" s="108"/>
      <c r="X23" s="213"/>
      <c r="Y23" s="110"/>
      <c r="Z23" s="263"/>
      <c r="AA23" s="106"/>
      <c r="AB23" s="264"/>
      <c r="AC23" s="265"/>
      <c r="AD23" s="106"/>
      <c r="AE23" s="106"/>
      <c r="AF23" s="107"/>
    </row>
    <row r="24" spans="1:32" ht="15" customHeight="1">
      <c r="A24" s="392"/>
      <c r="B24" s="100">
        <f t="shared" si="0"/>
        <v>17</v>
      </c>
      <c r="C24" s="412"/>
      <c r="D24" s="413"/>
      <c r="E24" s="413"/>
      <c r="F24" s="413"/>
      <c r="G24" s="413"/>
      <c r="H24" s="413"/>
      <c r="I24" s="413"/>
      <c r="J24" s="413"/>
      <c r="K24" s="413"/>
      <c r="L24" s="111"/>
      <c r="M24" s="112"/>
      <c r="N24" s="102"/>
      <c r="O24" s="103"/>
      <c r="P24" s="102"/>
      <c r="Q24" s="104"/>
      <c r="R24" s="105"/>
      <c r="S24" s="110"/>
      <c r="T24" s="106"/>
      <c r="U24" s="106"/>
      <c r="V24" s="107"/>
      <c r="W24" s="108"/>
      <c r="X24" s="213"/>
      <c r="Y24" s="110"/>
      <c r="Z24" s="263"/>
      <c r="AA24" s="106"/>
      <c r="AB24" s="264"/>
      <c r="AC24" s="265"/>
      <c r="AD24" s="106"/>
      <c r="AE24" s="106"/>
      <c r="AF24" s="107"/>
    </row>
    <row r="25" spans="1:32" ht="15" customHeight="1">
      <c r="A25" s="392"/>
      <c r="B25" s="100">
        <f t="shared" si="0"/>
        <v>18</v>
      </c>
      <c r="C25" s="412"/>
      <c r="D25" s="413"/>
      <c r="E25" s="413"/>
      <c r="F25" s="413"/>
      <c r="G25" s="413"/>
      <c r="H25" s="413"/>
      <c r="I25" s="413"/>
      <c r="J25" s="413"/>
      <c r="K25" s="413"/>
      <c r="L25" s="111"/>
      <c r="M25" s="112"/>
      <c r="N25" s="102"/>
      <c r="O25" s="103"/>
      <c r="P25" s="102"/>
      <c r="Q25" s="104"/>
      <c r="R25" s="105"/>
      <c r="S25" s="110"/>
      <c r="T25" s="106"/>
      <c r="U25" s="106"/>
      <c r="V25" s="107"/>
      <c r="W25" s="108"/>
      <c r="X25" s="213"/>
      <c r="Y25" s="110"/>
      <c r="Z25" s="263"/>
      <c r="AA25" s="106"/>
      <c r="AB25" s="264"/>
      <c r="AC25" s="265"/>
      <c r="AD25" s="106"/>
      <c r="AE25" s="106"/>
      <c r="AF25" s="107"/>
    </row>
    <row r="26" spans="1:32" ht="15" customHeight="1">
      <c r="A26" s="392"/>
      <c r="B26" s="100">
        <f t="shared" si="0"/>
        <v>19</v>
      </c>
      <c r="C26" s="412"/>
      <c r="D26" s="413"/>
      <c r="E26" s="413"/>
      <c r="F26" s="413"/>
      <c r="G26" s="413"/>
      <c r="H26" s="413"/>
      <c r="I26" s="413"/>
      <c r="J26" s="413"/>
      <c r="K26" s="413"/>
      <c r="L26" s="111"/>
      <c r="M26" s="112"/>
      <c r="N26" s="102"/>
      <c r="O26" s="103"/>
      <c r="P26" s="102"/>
      <c r="Q26" s="104"/>
      <c r="R26" s="105"/>
      <c r="S26" s="110"/>
      <c r="T26" s="106"/>
      <c r="U26" s="106"/>
      <c r="V26" s="107"/>
      <c r="W26" s="108"/>
      <c r="X26" s="213"/>
      <c r="Y26" s="110"/>
      <c r="Z26" s="263"/>
      <c r="AA26" s="106"/>
      <c r="AB26" s="264"/>
      <c r="AC26" s="265"/>
      <c r="AD26" s="106"/>
      <c r="AE26" s="106"/>
      <c r="AF26" s="107"/>
    </row>
    <row r="27" spans="1:32" ht="15.75" customHeight="1" thickBot="1">
      <c r="A27" s="392"/>
      <c r="B27" s="113">
        <f t="shared" si="0"/>
        <v>20</v>
      </c>
      <c r="C27" s="414"/>
      <c r="D27" s="415"/>
      <c r="E27" s="415"/>
      <c r="F27" s="415"/>
      <c r="G27" s="415"/>
      <c r="H27" s="415"/>
      <c r="I27" s="415"/>
      <c r="J27" s="415"/>
      <c r="K27" s="415"/>
      <c r="L27" s="114"/>
      <c r="M27" s="115"/>
      <c r="N27" s="116"/>
      <c r="O27" s="117"/>
      <c r="P27" s="116"/>
      <c r="Q27" s="118"/>
      <c r="R27" s="119"/>
      <c r="S27" s="120"/>
      <c r="T27" s="121"/>
      <c r="U27" s="121"/>
      <c r="V27" s="122"/>
      <c r="W27" s="123"/>
      <c r="X27" s="214"/>
      <c r="Y27" s="120"/>
      <c r="Z27" s="266"/>
      <c r="AA27" s="121"/>
      <c r="AB27" s="267"/>
      <c r="AC27" s="268"/>
      <c r="AD27" s="121"/>
      <c r="AE27" s="121"/>
      <c r="AF27" s="122"/>
    </row>
    <row r="29" spans="1:32" ht="15.75">
      <c r="B29" s="423" t="s">
        <v>127</v>
      </c>
      <c r="C29" s="424"/>
      <c r="D29" s="424"/>
      <c r="E29" s="424"/>
      <c r="F29" s="424"/>
      <c r="G29" s="424"/>
      <c r="H29" s="424"/>
      <c r="I29" s="424"/>
      <c r="J29" s="424"/>
      <c r="K29" s="424"/>
      <c r="L29" s="424"/>
      <c r="M29" s="424"/>
      <c r="N29" s="424"/>
      <c r="O29" s="424"/>
      <c r="P29" s="425"/>
    </row>
    <row r="30" spans="1:32" ht="35.25">
      <c r="B30" s="426" t="s">
        <v>128</v>
      </c>
      <c r="C30" s="427" t="s">
        <v>68</v>
      </c>
      <c r="D30" s="427" t="s">
        <v>129</v>
      </c>
      <c r="E30" s="427" t="s">
        <v>74</v>
      </c>
      <c r="F30" s="427" t="s">
        <v>77</v>
      </c>
      <c r="G30" s="427" t="s">
        <v>130</v>
      </c>
      <c r="H30" s="427" t="s">
        <v>131</v>
      </c>
      <c r="I30" s="427" t="s">
        <v>132</v>
      </c>
      <c r="J30" s="427" t="s">
        <v>88</v>
      </c>
      <c r="K30" s="427" t="s">
        <v>91</v>
      </c>
      <c r="L30" s="427" t="s">
        <v>94</v>
      </c>
      <c r="M30" s="427" t="s">
        <v>96</v>
      </c>
      <c r="N30" s="427" t="s">
        <v>98</v>
      </c>
      <c r="O30" s="427" t="s">
        <v>133</v>
      </c>
      <c r="P30" s="428" t="s">
        <v>104</v>
      </c>
      <c r="R30"/>
      <c r="S30"/>
      <c r="T30"/>
    </row>
    <row r="31" spans="1:32" ht="18">
      <c r="B31" s="126" t="s">
        <v>2</v>
      </c>
      <c r="C31" s="93" t="s">
        <v>123</v>
      </c>
      <c r="D31" s="127" t="s">
        <v>123</v>
      </c>
      <c r="E31" s="127" t="s">
        <v>123</v>
      </c>
      <c r="F31" s="93" t="s">
        <v>134</v>
      </c>
      <c r="G31" s="93" t="s">
        <v>135</v>
      </c>
      <c r="H31" s="93" t="s">
        <v>135</v>
      </c>
      <c r="I31" s="93" t="s">
        <v>135</v>
      </c>
      <c r="J31" s="93" t="s">
        <v>136</v>
      </c>
      <c r="K31" s="93" t="s">
        <v>123</v>
      </c>
      <c r="L31" s="93" t="s">
        <v>123</v>
      </c>
      <c r="M31" s="93" t="s">
        <v>123</v>
      </c>
      <c r="N31" s="93" t="s">
        <v>123</v>
      </c>
      <c r="O31" s="93" t="s">
        <v>102</v>
      </c>
      <c r="P31" s="95" t="s">
        <v>137</v>
      </c>
      <c r="Q31" s="74"/>
      <c r="R31"/>
      <c r="S31"/>
      <c r="T31"/>
    </row>
    <row r="32" spans="1:32">
      <c r="B32" s="128" t="str">
        <f>+IF(S6="Alternative Fuel 1",S6,"N/A")</f>
        <v>N/A</v>
      </c>
      <c r="C32" s="84"/>
      <c r="D32" s="215"/>
      <c r="E32" s="215"/>
      <c r="F32" s="147"/>
      <c r="G32" s="225" t="str">
        <f>IF(B32="Alternative Fuel 1", SUMPRODUCT($F$40:$F$50,$J$40:$J$50), "")</f>
        <v/>
      </c>
      <c r="H32" s="225" t="str">
        <f>IF(B32="Alternative Fuel 1", SUMPRODUCT($G$40:$G$50,$J$40:$J$50), "")</f>
        <v/>
      </c>
      <c r="I32" s="225" t="str">
        <f>IF(B32="Alternative Fuel 1", SUMPRODUCT($H$40:$H$50,$J$40:$J$50), "")</f>
        <v/>
      </c>
      <c r="J32" s="225" t="str">
        <f>IF(B32="Alternative Fuel 1", IF(SUM($K$40:$K$50)&gt;0,SUMPRODUCT($K$40:$K$50,$J$40:$J$50),0), "")</f>
        <v/>
      </c>
      <c r="K32" s="226" t="str" cm="1">
        <f t="array" ref="K32">IF(B32="Alternative Fuel 1", _xlfn.TEXTJOIN(", ", TRUE, IF(NOT(ISBLANK($L$40:$L$50)), $L$40:$L$50, "")), "")</f>
        <v/>
      </c>
      <c r="L32" s="226" t="str" cm="1">
        <f t="array" ref="L32">IF(B32="Alternative Fuel 1", _xlfn.TEXTJOIN(", ", TRUE, IF(NOT(ISBLANK($M$40:$M$50)), $M$40:$M$50, "")), "")</f>
        <v/>
      </c>
      <c r="M32" s="129" t="str" cm="1">
        <f t="array" ref="M32">IF(B32="Alternative Fuel 1", _xlfn.TEXTJOIN(", ", TRUE, IF(NOT(ISBLANK($N$40:$N$50)), $N$40:$N$50, "")), "")</f>
        <v/>
      </c>
      <c r="N32" s="218"/>
      <c r="O32" s="129"/>
      <c r="P32" s="130"/>
      <c r="R32"/>
      <c r="S32"/>
      <c r="T32"/>
    </row>
    <row r="33" spans="2:20">
      <c r="B33" s="128" t="str">
        <f>+IF(T6="Alternative Fuel 2",T6,"N/A")</f>
        <v>N/A</v>
      </c>
      <c r="C33" s="85"/>
      <c r="D33" s="216"/>
      <c r="E33" s="216"/>
      <c r="F33" s="148"/>
      <c r="G33" s="227" t="str">
        <f>IF(B33="Alternative Fuel 2", SUMPRODUCT($F$53:$F$63,$J$53:$J$63), "")</f>
        <v/>
      </c>
      <c r="H33" s="227" t="str">
        <f>IF(B33="Alternative Fuel 2", SUMPRODUCT($G$53:$G$63,$J$53:$J$63), "")</f>
        <v/>
      </c>
      <c r="I33" s="227" t="str">
        <f>IF(B33="Alternative Fuel 2", SUMPRODUCT($H$53:$H$63,$J$53:$J$63), "")</f>
        <v/>
      </c>
      <c r="J33" s="227" t="str">
        <f>IF(B33="Alternative Fuel 2", IF(SUM($K$53:$K$63)&gt;0,SUMPRODUCT($K$53:$K$63,$J$53:$J$63),0), "")</f>
        <v/>
      </c>
      <c r="K33" s="228" t="str" cm="1">
        <f t="array" ref="K33">IF(B33="Alternative Fuel 2", _xlfn.TEXTJOIN(", ", TRUE, IF(NOT(ISBLANK($L$53:$L$63)), $L$53:$L$63, "")), "")</f>
        <v/>
      </c>
      <c r="L33" s="228" t="str" cm="1">
        <f t="array" ref="L33">IF(B33="Alternative Fuel 2", _xlfn.TEXTJOIN(", ", TRUE, IF(NOT(ISBLANK($M$53:$M$63)), $M$53:$M$63, "")), "")</f>
        <v/>
      </c>
      <c r="M33" s="131" t="str" cm="1">
        <f t="array" ref="M33">IF(B33="Alternative Fuel 2", _xlfn.TEXTJOIN(", ", TRUE, IF(NOT(ISBLANK($N$53:$N$63)), $N$53:$N$63, "")), "")</f>
        <v/>
      </c>
      <c r="N33" s="219"/>
      <c r="O33" s="131"/>
      <c r="P33" s="107"/>
      <c r="R33"/>
      <c r="S33"/>
      <c r="T33"/>
    </row>
    <row r="34" spans="2:20">
      <c r="B34" s="126" t="str">
        <f>+IF(U6="Alternative Fuel 3",U6,"N/A")</f>
        <v>N/A</v>
      </c>
      <c r="C34" s="359"/>
      <c r="D34" s="216"/>
      <c r="E34" s="216"/>
      <c r="F34" s="360"/>
      <c r="G34" s="227" t="str">
        <f>IF(B34="Alternative Fuel 3", SUMPRODUCT($F$66:$F$76,$J$66:$J$76), "")</f>
        <v/>
      </c>
      <c r="H34" s="227" t="str">
        <f>IF(B34="Alternative Fuel 3", SUMPRODUCT($G$66:$G$76,$J$66:$J$76), "")</f>
        <v/>
      </c>
      <c r="I34" s="227" t="str">
        <f>IF(B34="Alternative Fuel 3", SUMPRODUCT($H$66:$H$76,$J$66:$J$76), "")</f>
        <v/>
      </c>
      <c r="J34" s="227" t="str">
        <f>IF(B34="Alternative Fuel 3", IF(SUM($K$66:$K$76)&gt;0,SUMPRODUCT($K$66:$K$76,$J$66:$J$76),0), "")</f>
        <v/>
      </c>
      <c r="K34" s="228" t="str" cm="1">
        <f t="array" ref="K34">IF(B34="Alternative Fuel 3", _xlfn.TEXTJOIN(", ", TRUE, IF(NOT(ISBLANK($L$66:$L$76)), $L$66:$L$76, "")), "")</f>
        <v/>
      </c>
      <c r="L34" s="228" t="str" cm="1">
        <f t="array" ref="L34">IF(B34="Alternative Fuel 3", _xlfn.TEXTJOIN(", ", TRUE, IF(NOT(ISBLANK($M$66:$M$76)), $M$66:$M$76, "")), "")</f>
        <v/>
      </c>
      <c r="M34" s="131" t="str" cm="1">
        <f t="array" ref="M34">IF(B34="Alternative Fuel 3", _xlfn.TEXTJOIN(", ", TRUE, IF(NOT(ISBLANK($N$66:$N$76)), $N$66:$N$76, "")), "")</f>
        <v/>
      </c>
      <c r="N34" s="361"/>
      <c r="O34" s="131"/>
      <c r="P34" s="362"/>
      <c r="R34"/>
      <c r="S34"/>
      <c r="T34"/>
    </row>
    <row r="35" spans="2:20" ht="15.75" thickBot="1">
      <c r="B35" s="132" t="str">
        <f>+IF(V6="Alternative Fuel 4",V6,"N/A")</f>
        <v>N/A</v>
      </c>
      <c r="C35" s="86"/>
      <c r="D35" s="217"/>
      <c r="E35" s="217"/>
      <c r="F35" s="149"/>
      <c r="G35" s="229" t="str">
        <f>IF(B35="Alternative Fuel 4", SUMPRODUCT($F$79:$F$89,$J$79:$J$89), "")</f>
        <v/>
      </c>
      <c r="H35" s="229" t="str">
        <f>IF(B35="Alternative Fuel 4", SUMPRODUCT($G$79:$G$89,$J$79:$J$89), "")</f>
        <v/>
      </c>
      <c r="I35" s="229" t="str">
        <f>IF(B35="Alternative Fuel 4", SUMPRODUCT($H$79:$H$89,$J$79:$J$89), "")</f>
        <v/>
      </c>
      <c r="J35" s="229" t="str">
        <f>IF(B35="Alternative Fuel 4", IF(SUM($K$79:$K$89)&gt;0,SUMPRODUCT($K$79:$K$89,$J$79:$J$89),0), "")</f>
        <v/>
      </c>
      <c r="K35" s="230" t="str" cm="1">
        <f t="array" ref="K35">IF(B35="Alternative Fuel 4", _xlfn.TEXTJOIN(", ", TRUE, IF(NOT(ISBLANK($L$79:$L$89)), $L$79:$L$89, "")), "")</f>
        <v/>
      </c>
      <c r="L35" s="230" t="str" cm="1">
        <f t="array" ref="L35">IF(B35="Alternative Fuel 4", _xlfn.TEXTJOIN(", ", TRUE, IF(NOT(ISBLANK($M$79:$M$89)), $M$79:$M$89, "")), "")</f>
        <v/>
      </c>
      <c r="M35" s="133" t="str" cm="1">
        <f t="array" ref="M35">IF(B35="Alternative Fuel 4", _xlfn.TEXTJOIN(", ", TRUE, IF(NOT(ISBLANK($N$79:$N$89)), $N$79:$N$89, "")), "")</f>
        <v/>
      </c>
      <c r="N35" s="220"/>
      <c r="O35" s="133"/>
      <c r="P35" s="122"/>
      <c r="R35"/>
      <c r="S35"/>
      <c r="T35"/>
    </row>
    <row r="36" spans="2:20" ht="15.75" thickBot="1">
      <c r="R36"/>
      <c r="S36"/>
      <c r="T36"/>
    </row>
    <row r="37" spans="2:20" ht="15.75" thickBot="1">
      <c r="B37" s="389" t="s">
        <v>138</v>
      </c>
      <c r="C37" s="390"/>
      <c r="D37" s="390"/>
      <c r="E37" s="390"/>
      <c r="F37" s="390"/>
      <c r="G37" s="390"/>
      <c r="H37" s="390"/>
      <c r="I37" s="390"/>
      <c r="J37" s="390"/>
      <c r="K37" s="390"/>
      <c r="L37" s="390"/>
      <c r="M37" s="390"/>
      <c r="N37" s="390"/>
      <c r="O37" s="391"/>
    </row>
    <row r="38" spans="2:20" ht="15.75" outlineLevel="1" thickBot="1"/>
    <row r="39" spans="2:20" ht="30" outlineLevel="1">
      <c r="B39" s="134" t="s">
        <v>139</v>
      </c>
      <c r="C39" s="135" t="s">
        <v>140</v>
      </c>
      <c r="D39" s="124" t="s">
        <v>141</v>
      </c>
      <c r="E39" s="124" t="s">
        <v>142</v>
      </c>
      <c r="F39" s="124" t="s">
        <v>143</v>
      </c>
      <c r="G39" s="124" t="s">
        <v>144</v>
      </c>
      <c r="H39" s="124" t="s">
        <v>145</v>
      </c>
      <c r="I39" s="136" t="s">
        <v>146</v>
      </c>
      <c r="J39" s="124" t="s">
        <v>147</v>
      </c>
      <c r="K39" s="124" t="s">
        <v>148</v>
      </c>
      <c r="L39" s="124" t="s">
        <v>91</v>
      </c>
      <c r="M39" s="124" t="s">
        <v>94</v>
      </c>
      <c r="N39" s="124" t="s">
        <v>96</v>
      </c>
      <c r="O39" s="125" t="s">
        <v>98</v>
      </c>
    </row>
    <row r="40" spans="2:20" outlineLevel="1">
      <c r="B40" s="137" t="s">
        <v>149</v>
      </c>
      <c r="C40" s="138"/>
      <c r="D40" s="221"/>
      <c r="E40" s="139"/>
      <c r="F40" s="109"/>
      <c r="G40" s="109"/>
      <c r="H40" s="140"/>
      <c r="I40" s="34" t="str">
        <f t="shared" ref="I40:I50" si="1">IF(C40&gt;0,C40/SUM($C$40:$C$50), "")</f>
        <v/>
      </c>
      <c r="J40" s="34" t="str">
        <f t="shared" ref="J40:J50" si="2">IF(C40&gt;0,E40/SUM($E$40:$E$50), "")</f>
        <v/>
      </c>
      <c r="K40" s="141" t="str" cm="1">
        <f t="array" ref="K40">IF(C40&gt;0,IF(D40="Cubic Meter",E40/(_xlfn.XLOOKUP($B$39,$B$32:B$35,$P$32:$P$35)*_xlfn.XLOOKUP($B$39,$B$32:B$35,$F$32:$F$35)*1000000*I40),E40/(C40*1000000)), "")</f>
        <v/>
      </c>
      <c r="L40" s="221"/>
      <c r="M40" s="109"/>
      <c r="N40" s="109"/>
      <c r="O40" s="224"/>
    </row>
    <row r="41" spans="2:20" outlineLevel="1">
      <c r="B41" s="137" t="s">
        <v>150</v>
      </c>
      <c r="C41" s="142"/>
      <c r="D41" s="222"/>
      <c r="E41" s="143"/>
      <c r="F41" s="102"/>
      <c r="G41" s="102"/>
      <c r="H41" s="101"/>
      <c r="I41" s="34" t="str">
        <f t="shared" si="1"/>
        <v/>
      </c>
      <c r="J41" s="34" t="str">
        <f t="shared" si="2"/>
        <v/>
      </c>
      <c r="K41" s="141" t="str" cm="1">
        <f t="array" ref="K41">IF(C41&gt;0,IF(D41="Cubic Meter",E41/(_xlfn.XLOOKUP($B$39,$B$32:B$35,$P$32:$P$35)*_xlfn.XLOOKUP($B$39,$B$32:B$35,$F$32:$F$35)*1000000*I41),E41/(C41*1000000)), "")</f>
        <v/>
      </c>
      <c r="L41" s="222"/>
      <c r="M41" s="102"/>
      <c r="N41" s="102"/>
      <c r="O41" s="213"/>
    </row>
    <row r="42" spans="2:20" outlineLevel="1">
      <c r="B42" s="137" t="s">
        <v>151</v>
      </c>
      <c r="C42" s="142"/>
      <c r="D42" s="222"/>
      <c r="E42" s="143"/>
      <c r="F42" s="102"/>
      <c r="G42" s="102"/>
      <c r="H42" s="101"/>
      <c r="I42" s="34" t="str">
        <f t="shared" si="1"/>
        <v/>
      </c>
      <c r="J42" s="34" t="str">
        <f t="shared" si="2"/>
        <v/>
      </c>
      <c r="K42" s="141" t="str" cm="1">
        <f t="array" ref="K42">IF(C42&gt;0,IF(D42="Cubic Meter",E42/(_xlfn.XLOOKUP($B$39,$B$32:B$35,$P$32:$P$35)*_xlfn.XLOOKUP($B$39,$B$32:B$35,$F$32:$F$35)*1000000*I42),E42/(C42*1000000)), "")</f>
        <v/>
      </c>
      <c r="L42" s="222"/>
      <c r="M42" s="102"/>
      <c r="N42" s="102"/>
      <c r="O42" s="213"/>
      <c r="Q42" s="74"/>
    </row>
    <row r="43" spans="2:20" outlineLevel="1">
      <c r="B43" s="137" t="s">
        <v>152</v>
      </c>
      <c r="C43" s="142"/>
      <c r="D43" s="222"/>
      <c r="E43" s="143"/>
      <c r="F43" s="102"/>
      <c r="G43" s="102"/>
      <c r="H43" s="101"/>
      <c r="I43" s="34" t="str">
        <f t="shared" si="1"/>
        <v/>
      </c>
      <c r="J43" s="34" t="str">
        <f t="shared" si="2"/>
        <v/>
      </c>
      <c r="K43" s="141" t="str" cm="1">
        <f t="array" ref="K43">IF(C43&gt;0,IF(D43="Cubic Meter",E43/(_xlfn.XLOOKUP($B$39,$B$32:B$35,$P$32:$P$35)*_xlfn.XLOOKUP($B$39,$B$32:B$35,$F$32:$F$35)*1000000*I43),E43/(C43*1000000)), "")</f>
        <v/>
      </c>
      <c r="L43" s="222"/>
      <c r="M43" s="102"/>
      <c r="N43" s="102"/>
      <c r="O43" s="213"/>
    </row>
    <row r="44" spans="2:20" outlineLevel="1">
      <c r="B44" s="137" t="s">
        <v>153</v>
      </c>
      <c r="C44" s="142"/>
      <c r="D44" s="222"/>
      <c r="E44" s="143"/>
      <c r="F44" s="102"/>
      <c r="G44" s="102"/>
      <c r="H44" s="101"/>
      <c r="I44" s="34" t="str">
        <f t="shared" si="1"/>
        <v/>
      </c>
      <c r="J44" s="34" t="str">
        <f t="shared" si="2"/>
        <v/>
      </c>
      <c r="K44" s="141" t="str" cm="1">
        <f t="array" ref="K44">IF(C44&gt;0,IF(D44="Cubic Meter",E44/(_xlfn.XLOOKUP($B$39,$B$32:B$35,$P$32:$P$35)*_xlfn.XLOOKUP($B$39,$B$32:B$35,$F$32:$F$35)*1000000*I44),E44/(C44*1000000)), "")</f>
        <v/>
      </c>
      <c r="L44" s="222"/>
      <c r="M44" s="102"/>
      <c r="N44" s="102"/>
      <c r="O44" s="213"/>
    </row>
    <row r="45" spans="2:20" outlineLevel="1">
      <c r="B45" s="137" t="s">
        <v>154</v>
      </c>
      <c r="C45" s="142"/>
      <c r="D45" s="222"/>
      <c r="E45" s="143"/>
      <c r="F45" s="102"/>
      <c r="G45" s="102"/>
      <c r="H45" s="101"/>
      <c r="I45" s="34" t="str">
        <f t="shared" si="1"/>
        <v/>
      </c>
      <c r="J45" s="34" t="str">
        <f t="shared" si="2"/>
        <v/>
      </c>
      <c r="K45" s="141" t="str" cm="1">
        <f t="array" ref="K45">IF(C45&gt;0,IF(D45="Cubic Meter",E45/(_xlfn.XLOOKUP($B$39,$B$32:B$35,$P$32:$P$35)*_xlfn.XLOOKUP($B$39,$B$32:B$35,$F$32:$F$35)*1000000*I45),E45/(C45*1000000)), "")</f>
        <v/>
      </c>
      <c r="L45" s="222"/>
      <c r="M45" s="102"/>
      <c r="N45" s="102"/>
      <c r="O45" s="213"/>
    </row>
    <row r="46" spans="2:20" outlineLevel="1">
      <c r="B46" s="137" t="s">
        <v>155</v>
      </c>
      <c r="C46" s="142"/>
      <c r="D46" s="222"/>
      <c r="E46" s="143"/>
      <c r="F46" s="102"/>
      <c r="G46" s="102"/>
      <c r="H46" s="101"/>
      <c r="I46" s="34" t="str">
        <f t="shared" si="1"/>
        <v/>
      </c>
      <c r="J46" s="34" t="str">
        <f t="shared" si="2"/>
        <v/>
      </c>
      <c r="K46" s="141" t="str" cm="1">
        <f t="array" ref="K46">IF(C46&gt;0,IF(D46="Cubic Meter",E46/(_xlfn.XLOOKUP($B$39,$B$32:B$35,$P$32:$P$35)*_xlfn.XLOOKUP($B$39,$B$32:B$35,$F$32:$F$35)*1000000*I46),E46/(C46*1000000)), "")</f>
        <v/>
      </c>
      <c r="L46" s="222"/>
      <c r="M46" s="102"/>
      <c r="N46" s="102"/>
      <c r="O46" s="213"/>
    </row>
    <row r="47" spans="2:20" outlineLevel="1">
      <c r="B47" s="137" t="s">
        <v>156</v>
      </c>
      <c r="C47" s="142"/>
      <c r="D47" s="222"/>
      <c r="E47" s="143"/>
      <c r="F47" s="102"/>
      <c r="G47" s="102"/>
      <c r="H47" s="101"/>
      <c r="I47" s="34" t="str">
        <f t="shared" si="1"/>
        <v/>
      </c>
      <c r="J47" s="34" t="str">
        <f t="shared" si="2"/>
        <v/>
      </c>
      <c r="K47" s="141" t="str" cm="1">
        <f t="array" ref="K47">IF(C47&gt;0,IF(D47="Cubic Meter",E47/(_xlfn.XLOOKUP($B$39,$B$32:B$35,$P$32:$P$35)*_xlfn.XLOOKUP($B$39,$B$32:B$35,$F$32:$F$35)*1000000*I47),E47/(C47*1000000)), "")</f>
        <v/>
      </c>
      <c r="L47" s="222"/>
      <c r="M47" s="102"/>
      <c r="N47" s="102"/>
      <c r="O47" s="213"/>
    </row>
    <row r="48" spans="2:20" outlineLevel="1">
      <c r="B48" s="137" t="s">
        <v>157</v>
      </c>
      <c r="C48" s="142"/>
      <c r="D48" s="222"/>
      <c r="E48" s="143"/>
      <c r="F48" s="102"/>
      <c r="G48" s="102"/>
      <c r="H48" s="101"/>
      <c r="I48" s="34" t="str">
        <f t="shared" si="1"/>
        <v/>
      </c>
      <c r="J48" s="34" t="str">
        <f t="shared" si="2"/>
        <v/>
      </c>
      <c r="K48" s="141" t="str" cm="1">
        <f t="array" ref="K48">IF(C48&gt;0,IF(D48="Cubic Meter",E48/(_xlfn.XLOOKUP($B$39,$B$32:B$35,$P$32:$P$35)*_xlfn.XLOOKUP($B$39,$B$32:B$35,$F$32:$F$35)*1000000*I48),E48/(C48*1000000)), "")</f>
        <v/>
      </c>
      <c r="L48" s="222"/>
      <c r="M48" s="102"/>
      <c r="N48" s="102"/>
      <c r="O48" s="213"/>
    </row>
    <row r="49" spans="2:15" outlineLevel="1">
      <c r="B49" s="137" t="s">
        <v>158</v>
      </c>
      <c r="C49" s="142"/>
      <c r="D49" s="222"/>
      <c r="E49" s="143"/>
      <c r="F49" s="102"/>
      <c r="G49" s="102"/>
      <c r="H49" s="101"/>
      <c r="I49" s="34" t="str">
        <f t="shared" si="1"/>
        <v/>
      </c>
      <c r="J49" s="34" t="str">
        <f t="shared" si="2"/>
        <v/>
      </c>
      <c r="K49" s="141" t="str" cm="1">
        <f t="array" ref="K49">IF(C49&gt;0,IF(D49="Cubic Meter",E49/(_xlfn.XLOOKUP($B$39,$B$32:B$35,$P$32:$P$35)*_xlfn.XLOOKUP($B$39,$B$32:B$35,$F$32:$F$35)*1000000*I49),E49/(C49*1000000)), "")</f>
        <v/>
      </c>
      <c r="L49" s="222"/>
      <c r="M49" s="102"/>
      <c r="N49" s="102"/>
      <c r="O49" s="213"/>
    </row>
    <row r="50" spans="2:15" ht="15.75" outlineLevel="1" thickBot="1">
      <c r="B50" s="137" t="s">
        <v>159</v>
      </c>
      <c r="C50" s="144"/>
      <c r="D50" s="223"/>
      <c r="E50" s="145"/>
      <c r="F50" s="116"/>
      <c r="G50" s="116"/>
      <c r="H50" s="146"/>
      <c r="I50" s="35" t="str">
        <f t="shared" si="1"/>
        <v/>
      </c>
      <c r="J50" s="35" t="str">
        <f t="shared" si="2"/>
        <v/>
      </c>
      <c r="K50" s="344" t="str" cm="1">
        <f t="array" ref="K50">IF(C50&gt;0,IF(D50="Cubic Meter",E50/(_xlfn.XLOOKUP($B$39,$B$32:B$35,$P$32:$P$35)*_xlfn.XLOOKUP($B$39,$B$32:B$35,$F$32:$F$35)*1000000*I50),E50/(C50*1000000)), "")</f>
        <v/>
      </c>
      <c r="L50" s="223"/>
      <c r="M50" s="116"/>
      <c r="N50" s="116"/>
      <c r="O50" s="214"/>
    </row>
    <row r="51" spans="2:15" ht="15.75" outlineLevel="1" thickBot="1"/>
    <row r="52" spans="2:15" ht="30" outlineLevel="1">
      <c r="B52" s="134" t="s">
        <v>160</v>
      </c>
      <c r="C52" s="135" t="s">
        <v>140</v>
      </c>
      <c r="D52" s="124" t="s">
        <v>141</v>
      </c>
      <c r="E52" s="124" t="s">
        <v>142</v>
      </c>
      <c r="F52" s="124" t="s">
        <v>143</v>
      </c>
      <c r="G52" s="124" t="s">
        <v>144</v>
      </c>
      <c r="H52" s="124" t="s">
        <v>161</v>
      </c>
      <c r="I52" s="136" t="s">
        <v>146</v>
      </c>
      <c r="J52" s="124" t="s">
        <v>147</v>
      </c>
      <c r="K52" s="124" t="s">
        <v>148</v>
      </c>
      <c r="L52" s="124" t="s">
        <v>91</v>
      </c>
      <c r="M52" s="124" t="s">
        <v>94</v>
      </c>
      <c r="N52" s="124" t="s">
        <v>96</v>
      </c>
      <c r="O52" s="125" t="s">
        <v>98</v>
      </c>
    </row>
    <row r="53" spans="2:15" outlineLevel="1">
      <c r="B53" s="137" t="s">
        <v>149</v>
      </c>
      <c r="C53" s="138"/>
      <c r="D53" s="221"/>
      <c r="E53" s="139"/>
      <c r="F53" s="109"/>
      <c r="G53" s="109"/>
      <c r="H53" s="140"/>
      <c r="I53" s="34" t="str">
        <f t="shared" ref="I53:I63" si="3">IF(C53&gt;0,C53/SUM($C$53:$C$63), "")</f>
        <v/>
      </c>
      <c r="J53" s="34" t="str">
        <f t="shared" ref="J53:J63" si="4">IF(C53&gt;0,E53/SUM($E$53:$E$63), "")</f>
        <v/>
      </c>
      <c r="K53" s="141" t="str" cm="1">
        <f t="array" ref="K53">IF(C53&gt;0,IF(D53="Cubic Meter",E53/(_xlfn.XLOOKUP($B$52,$B$32:B$35,$P$32:$P$35)*_xlfn.XLOOKUP($B$52,$B$32:B$35,$F$32:$F$35)*1000000*I53),E53/(C53*1000000)), "")</f>
        <v/>
      </c>
      <c r="L53" s="221"/>
      <c r="M53" s="109"/>
      <c r="N53" s="109"/>
      <c r="O53" s="224"/>
    </row>
    <row r="54" spans="2:15" outlineLevel="1">
      <c r="B54" s="137" t="s">
        <v>150</v>
      </c>
      <c r="C54" s="142"/>
      <c r="D54" s="222"/>
      <c r="E54" s="143"/>
      <c r="F54" s="102"/>
      <c r="G54" s="102"/>
      <c r="H54" s="101"/>
      <c r="I54" s="34" t="str">
        <f t="shared" si="3"/>
        <v/>
      </c>
      <c r="J54" s="34" t="str">
        <f t="shared" si="4"/>
        <v/>
      </c>
      <c r="K54" s="141" t="str" cm="1">
        <f t="array" ref="K54">IF(C54&gt;0,IF(D54="Cubic Meter",E54/(_xlfn.XLOOKUP($B$52,$B$32:B$35,$P$32:$P$35)*_xlfn.XLOOKUP($B$52,$B$32:B$35,$F$32:$F$35)*1000000*I54),E54/(C54*1000000)), "")</f>
        <v/>
      </c>
      <c r="L54" s="222"/>
      <c r="M54" s="102"/>
      <c r="N54" s="102"/>
      <c r="O54" s="213"/>
    </row>
    <row r="55" spans="2:15" outlineLevel="1">
      <c r="B55" s="137" t="s">
        <v>151</v>
      </c>
      <c r="C55" s="142"/>
      <c r="D55" s="222"/>
      <c r="E55" s="143"/>
      <c r="F55" s="102"/>
      <c r="G55" s="102"/>
      <c r="H55" s="101"/>
      <c r="I55" s="34" t="str">
        <f t="shared" si="3"/>
        <v/>
      </c>
      <c r="J55" s="34" t="str">
        <f t="shared" si="4"/>
        <v/>
      </c>
      <c r="K55" s="141" t="str" cm="1">
        <f t="array" ref="K55">IF(C55&gt;0,IF(D55="Cubic Meter",E55/(_xlfn.XLOOKUP($B$52,$B$32:B$35,$P$32:$P$35)*_xlfn.XLOOKUP($B$52,$B$32:B$35,$F$32:$F$35)*1000000*I55),E55/(C55*1000000)), "")</f>
        <v/>
      </c>
      <c r="L55" s="222"/>
      <c r="M55" s="102"/>
      <c r="N55" s="102"/>
      <c r="O55" s="213"/>
    </row>
    <row r="56" spans="2:15" outlineLevel="1">
      <c r="B56" s="137" t="s">
        <v>152</v>
      </c>
      <c r="C56" s="142"/>
      <c r="D56" s="222"/>
      <c r="E56" s="143"/>
      <c r="F56" s="102"/>
      <c r="G56" s="102"/>
      <c r="H56" s="101"/>
      <c r="I56" s="34" t="str">
        <f t="shared" si="3"/>
        <v/>
      </c>
      <c r="J56" s="34" t="str">
        <f t="shared" si="4"/>
        <v/>
      </c>
      <c r="K56" s="141" t="str" cm="1">
        <f t="array" ref="K56">IF(C56&gt;0,IF(D56="Cubic Meter",E56/(_xlfn.XLOOKUP($B$52,$B$32:B$35,$P$32:$P$35)*_xlfn.XLOOKUP($B$52,$B$32:B$35,$F$32:$F$35)*1000000*I56),E56/(C56*1000000)), "")</f>
        <v/>
      </c>
      <c r="L56" s="222"/>
      <c r="M56" s="102"/>
      <c r="N56" s="102"/>
      <c r="O56" s="213"/>
    </row>
    <row r="57" spans="2:15" outlineLevel="1">
      <c r="B57" s="137" t="s">
        <v>153</v>
      </c>
      <c r="C57" s="142"/>
      <c r="D57" s="222"/>
      <c r="E57" s="143"/>
      <c r="F57" s="102"/>
      <c r="G57" s="102"/>
      <c r="H57" s="101"/>
      <c r="I57" s="34" t="str">
        <f t="shared" si="3"/>
        <v/>
      </c>
      <c r="J57" s="34" t="str">
        <f t="shared" si="4"/>
        <v/>
      </c>
      <c r="K57" s="141" t="str" cm="1">
        <f t="array" ref="K57">IF(C57&gt;0,IF(D57="Cubic Meter",E57/(_xlfn.XLOOKUP($B$52,$B$32:B$35,$P$32:$P$35)*_xlfn.XLOOKUP($B$52,$B$32:B$35,$F$32:$F$35)*1000000*I57),E57/(C57*1000000)), "")</f>
        <v/>
      </c>
      <c r="L57" s="222"/>
      <c r="M57" s="102"/>
      <c r="N57" s="102"/>
      <c r="O57" s="213"/>
    </row>
    <row r="58" spans="2:15" outlineLevel="1">
      <c r="B58" s="137" t="s">
        <v>154</v>
      </c>
      <c r="C58" s="142"/>
      <c r="D58" s="222"/>
      <c r="E58" s="143"/>
      <c r="F58" s="102"/>
      <c r="G58" s="102"/>
      <c r="H58" s="101"/>
      <c r="I58" s="34" t="str">
        <f t="shared" si="3"/>
        <v/>
      </c>
      <c r="J58" s="34" t="str">
        <f t="shared" si="4"/>
        <v/>
      </c>
      <c r="K58" s="141" t="str" cm="1">
        <f t="array" ref="K58">IF(C58&gt;0,IF(D58="Cubic Meter",E58/(_xlfn.XLOOKUP($B$52,$B$32:B$35,$P$32:$P$35)*_xlfn.XLOOKUP($B$52,$B$32:B$35,$F$32:$F$35)*1000000*I58),E58/(C58*1000000)), "")</f>
        <v/>
      </c>
      <c r="L58" s="222"/>
      <c r="M58" s="102"/>
      <c r="N58" s="102"/>
      <c r="O58" s="213"/>
    </row>
    <row r="59" spans="2:15" outlineLevel="1">
      <c r="B59" s="137" t="s">
        <v>155</v>
      </c>
      <c r="C59" s="142"/>
      <c r="D59" s="222"/>
      <c r="E59" s="143"/>
      <c r="F59" s="102"/>
      <c r="G59" s="102"/>
      <c r="H59" s="101"/>
      <c r="I59" s="34" t="str">
        <f t="shared" si="3"/>
        <v/>
      </c>
      <c r="J59" s="34" t="str">
        <f t="shared" si="4"/>
        <v/>
      </c>
      <c r="K59" s="141" t="str" cm="1">
        <f t="array" ref="K59">IF(C59&gt;0,IF(D59="Cubic Meter",E59/(_xlfn.XLOOKUP($B$52,$B$32:B$35,$P$32:$P$35)*_xlfn.XLOOKUP($B$52,$B$32:B$35,$F$32:$F$35)*1000000*I59),E59/(C59*1000000)), "")</f>
        <v/>
      </c>
      <c r="L59" s="222"/>
      <c r="M59" s="102"/>
      <c r="N59" s="102"/>
      <c r="O59" s="213"/>
    </row>
    <row r="60" spans="2:15" outlineLevel="1">
      <c r="B60" s="137" t="s">
        <v>156</v>
      </c>
      <c r="C60" s="142"/>
      <c r="D60" s="222"/>
      <c r="E60" s="143"/>
      <c r="F60" s="102"/>
      <c r="G60" s="102"/>
      <c r="H60" s="101"/>
      <c r="I60" s="34" t="str">
        <f t="shared" si="3"/>
        <v/>
      </c>
      <c r="J60" s="34" t="str">
        <f t="shared" si="4"/>
        <v/>
      </c>
      <c r="K60" s="141" t="str" cm="1">
        <f t="array" ref="K60">IF(C60&gt;0,IF(D60="Cubic Meter",E60/(_xlfn.XLOOKUP($B$52,$B$32:B$35,$P$32:$P$35)*_xlfn.XLOOKUP($B$52,$B$32:B$35,$F$32:$F$35)*1000000*I60),E60/(C60*1000000)), "")</f>
        <v/>
      </c>
      <c r="L60" s="222"/>
      <c r="M60" s="102"/>
      <c r="N60" s="102"/>
      <c r="O60" s="213"/>
    </row>
    <row r="61" spans="2:15" outlineLevel="1">
      <c r="B61" s="137" t="s">
        <v>157</v>
      </c>
      <c r="C61" s="142"/>
      <c r="D61" s="222"/>
      <c r="E61" s="143"/>
      <c r="F61" s="102"/>
      <c r="G61" s="102"/>
      <c r="H61" s="101"/>
      <c r="I61" s="34" t="str">
        <f t="shared" si="3"/>
        <v/>
      </c>
      <c r="J61" s="34" t="str">
        <f t="shared" si="4"/>
        <v/>
      </c>
      <c r="K61" s="141" t="str" cm="1">
        <f t="array" ref="K61">IF(C61&gt;0,IF(D61="Cubic Meter",E61/(_xlfn.XLOOKUP($B$52,$B$32:B$35,$P$32:$P$35)*_xlfn.XLOOKUP($B$52,$B$32:B$35,$F$32:$F$35)*1000000*I61),E61/(C61*1000000)), "")</f>
        <v/>
      </c>
      <c r="L61" s="222"/>
      <c r="M61" s="102"/>
      <c r="N61" s="102"/>
      <c r="O61" s="213"/>
    </row>
    <row r="62" spans="2:15" outlineLevel="1">
      <c r="B62" s="137" t="s">
        <v>158</v>
      </c>
      <c r="C62" s="142"/>
      <c r="D62" s="222"/>
      <c r="E62" s="143"/>
      <c r="F62" s="102"/>
      <c r="G62" s="102"/>
      <c r="H62" s="101"/>
      <c r="I62" s="34" t="str">
        <f t="shared" si="3"/>
        <v/>
      </c>
      <c r="J62" s="34" t="str">
        <f t="shared" si="4"/>
        <v/>
      </c>
      <c r="K62" s="141" t="str" cm="1">
        <f t="array" ref="K62">IF(C62&gt;0,IF(D62="Cubic Meter",E62/(_xlfn.XLOOKUP($B$52,$B$32:B$35,$P$32:$P$35)*_xlfn.XLOOKUP($B$52,$B$32:B$35,$F$32:$F$35)*1000000*I62),E62/(C62*1000000)), "")</f>
        <v/>
      </c>
      <c r="L62" s="222"/>
      <c r="M62" s="102"/>
      <c r="N62" s="102"/>
      <c r="O62" s="213"/>
    </row>
    <row r="63" spans="2:15" ht="15.75" outlineLevel="1" thickBot="1">
      <c r="B63" s="137" t="s">
        <v>159</v>
      </c>
      <c r="C63" s="144"/>
      <c r="D63" s="223"/>
      <c r="E63" s="145"/>
      <c r="F63" s="116"/>
      <c r="G63" s="116"/>
      <c r="H63" s="146"/>
      <c r="I63" s="35" t="str">
        <f t="shared" si="3"/>
        <v/>
      </c>
      <c r="J63" s="35" t="str">
        <f t="shared" si="4"/>
        <v/>
      </c>
      <c r="K63" s="344" t="str" cm="1">
        <f t="array" ref="K63">IF(C63&gt;0,IF(D63="Cubic Meter",E63/(_xlfn.XLOOKUP($B$52,$B$32:B$35,$P$32:$P$35)*_xlfn.XLOOKUP($B$52,$B$32:B$35,$F$32:$F$35)*1000000*I63),E63/(C63*1000000)), "")</f>
        <v/>
      </c>
      <c r="L63" s="223"/>
      <c r="M63" s="116"/>
      <c r="N63" s="116"/>
      <c r="O63" s="214"/>
    </row>
    <row r="64" spans="2:15" ht="15.75" outlineLevel="1" thickBot="1"/>
    <row r="65" spans="2:15" ht="30" outlineLevel="1">
      <c r="B65" s="134" t="s">
        <v>162</v>
      </c>
      <c r="C65" s="135" t="s">
        <v>140</v>
      </c>
      <c r="D65" s="124" t="s">
        <v>141</v>
      </c>
      <c r="E65" s="124" t="s">
        <v>142</v>
      </c>
      <c r="F65" s="124" t="s">
        <v>143</v>
      </c>
      <c r="G65" s="124" t="s">
        <v>144</v>
      </c>
      <c r="H65" s="124" t="s">
        <v>161</v>
      </c>
      <c r="I65" s="136" t="s">
        <v>146</v>
      </c>
      <c r="J65" s="124" t="s">
        <v>147</v>
      </c>
      <c r="K65" s="124" t="s">
        <v>148</v>
      </c>
      <c r="L65" s="124" t="s">
        <v>91</v>
      </c>
      <c r="M65" s="124" t="s">
        <v>94</v>
      </c>
      <c r="N65" s="124" t="s">
        <v>96</v>
      </c>
      <c r="O65" s="125" t="s">
        <v>98</v>
      </c>
    </row>
    <row r="66" spans="2:15" outlineLevel="1">
      <c r="B66" s="137" t="s">
        <v>149</v>
      </c>
      <c r="C66" s="138"/>
      <c r="D66" s="221"/>
      <c r="E66" s="275"/>
      <c r="F66" s="109"/>
      <c r="G66" s="109"/>
      <c r="H66" s="109"/>
      <c r="I66" s="34" t="str">
        <f t="shared" ref="I66:I76" si="5">IF(C66&gt;0,C66/SUM($C$66:$C$76), "")</f>
        <v/>
      </c>
      <c r="J66" s="34" t="str">
        <f t="shared" ref="J66:J76" si="6">IF(C66&gt;0,E66/SUM($E$66:$E$76), "")</f>
        <v/>
      </c>
      <c r="K66" s="141" t="str" cm="1">
        <f t="array" ref="K66">IF(C66&gt;0,IF(D66="Cubic Meter",E66/(_xlfn.XLOOKUP($B$65,$B$32:B$35,$P$32:$P$35)*_xlfn.XLOOKUP($B$65,$B$32:B$35,$F$32:$F$35)*1000000*I66),E66/(C66*1000000)), "")</f>
        <v/>
      </c>
      <c r="L66" s="222"/>
      <c r="M66" s="276"/>
      <c r="N66" s="276"/>
      <c r="O66" s="213"/>
    </row>
    <row r="67" spans="2:15" outlineLevel="1">
      <c r="B67" s="137" t="s">
        <v>150</v>
      </c>
      <c r="C67" s="138"/>
      <c r="D67" s="222"/>
      <c r="E67" s="143"/>
      <c r="F67" s="102"/>
      <c r="G67" s="102"/>
      <c r="H67" s="101"/>
      <c r="I67" s="34" t="str">
        <f t="shared" si="5"/>
        <v/>
      </c>
      <c r="J67" s="34" t="str">
        <f t="shared" si="6"/>
        <v/>
      </c>
      <c r="K67" s="141" t="str" cm="1">
        <f t="array" ref="K67">IF(C67&gt;0,IF(D67="Cubic Meter",E67/(_xlfn.XLOOKUP($B$65,$B$32:B$35,$P$32:$P$35)*_xlfn.XLOOKUP($B$65,$B$32:B$35,$F$32:$F$35)*1000000*I67),E67/(C67*1000000)), "")</f>
        <v/>
      </c>
      <c r="L67" s="222"/>
      <c r="M67" s="102"/>
      <c r="N67" s="102"/>
      <c r="O67" s="213"/>
    </row>
    <row r="68" spans="2:15" outlineLevel="1">
      <c r="B68" s="137" t="s">
        <v>151</v>
      </c>
      <c r="C68" s="142"/>
      <c r="D68" s="222"/>
      <c r="E68" s="143"/>
      <c r="F68" s="102"/>
      <c r="G68" s="102"/>
      <c r="H68" s="101"/>
      <c r="I68" s="34" t="str">
        <f t="shared" si="5"/>
        <v/>
      </c>
      <c r="J68" s="34" t="str">
        <f t="shared" si="6"/>
        <v/>
      </c>
      <c r="K68" s="141" t="str" cm="1">
        <f t="array" ref="K68">IF(C68&gt;0,IF(D68="Cubic Meter",E68/(_xlfn.XLOOKUP($B$65,$B$32:B$35,$P$32:$P$35)*_xlfn.XLOOKUP($B$65,$B$32:B$35,$F$32:$F$35)*1000000*I68),E68/(C68*1000000)), "")</f>
        <v/>
      </c>
      <c r="L68" s="222"/>
      <c r="M68" s="102"/>
      <c r="N68" s="102"/>
      <c r="O68" s="213"/>
    </row>
    <row r="69" spans="2:15" outlineLevel="1">
      <c r="B69" s="137" t="s">
        <v>152</v>
      </c>
      <c r="C69" s="142"/>
      <c r="D69" s="222"/>
      <c r="E69" s="143"/>
      <c r="F69" s="102"/>
      <c r="G69" s="102"/>
      <c r="H69" s="101"/>
      <c r="I69" s="34" t="str">
        <f t="shared" si="5"/>
        <v/>
      </c>
      <c r="J69" s="34" t="str">
        <f t="shared" si="6"/>
        <v/>
      </c>
      <c r="K69" s="141" t="str" cm="1">
        <f t="array" ref="K69">IF(C69&gt;0,IF(D69="Cubic Meter",E69/(_xlfn.XLOOKUP($B$65,$B$32:B$35,$P$32:$P$35)*_xlfn.XLOOKUP($B$65,$B$32:B$35,$F$32:$F$35)*1000000*I69),E69/(C69*1000000)), "")</f>
        <v/>
      </c>
      <c r="L69" s="222"/>
      <c r="M69" s="102"/>
      <c r="N69" s="102"/>
      <c r="O69" s="213"/>
    </row>
    <row r="70" spans="2:15" outlineLevel="1">
      <c r="B70" s="137" t="s">
        <v>153</v>
      </c>
      <c r="C70" s="142"/>
      <c r="D70" s="222"/>
      <c r="E70" s="143"/>
      <c r="F70" s="102"/>
      <c r="G70" s="102"/>
      <c r="H70" s="101"/>
      <c r="I70" s="34" t="str">
        <f t="shared" si="5"/>
        <v/>
      </c>
      <c r="J70" s="34" t="str">
        <f t="shared" si="6"/>
        <v/>
      </c>
      <c r="K70" s="141" t="str" cm="1">
        <f t="array" ref="K70">IF(C70&gt;0,IF(D70="Cubic Meter",E70/(_xlfn.XLOOKUP($B$65,$B$32:B$35,$P$32:$P$35)*_xlfn.XLOOKUP($B$65,$B$32:B$35,$F$32:$F$35)*1000000*I70),E70/(C70*1000000)), "")</f>
        <v/>
      </c>
      <c r="L70" s="222"/>
      <c r="M70" s="102"/>
      <c r="N70" s="102"/>
      <c r="O70" s="213"/>
    </row>
    <row r="71" spans="2:15" outlineLevel="1">
      <c r="B71" s="137" t="s">
        <v>154</v>
      </c>
      <c r="C71" s="142"/>
      <c r="D71" s="222"/>
      <c r="E71" s="143"/>
      <c r="F71" s="102"/>
      <c r="G71" s="102"/>
      <c r="H71" s="101"/>
      <c r="I71" s="34" t="str">
        <f t="shared" si="5"/>
        <v/>
      </c>
      <c r="J71" s="34" t="str">
        <f t="shared" si="6"/>
        <v/>
      </c>
      <c r="K71" s="141" t="str" cm="1">
        <f t="array" ref="K71">IF(C71&gt;0,IF(D71="Cubic Meter",E71/(_xlfn.XLOOKUP($B$65,$B$32:B$35,$P$32:$P$35)*_xlfn.XLOOKUP($B$65,$B$32:B$35,$F$32:$F$35)*1000000*I71),E71/(C71*1000000)), "")</f>
        <v/>
      </c>
      <c r="L71" s="222"/>
      <c r="M71" s="102"/>
      <c r="N71" s="102"/>
      <c r="O71" s="213"/>
    </row>
    <row r="72" spans="2:15" outlineLevel="1">
      <c r="B72" s="137" t="s">
        <v>155</v>
      </c>
      <c r="C72" s="142"/>
      <c r="D72" s="222"/>
      <c r="E72" s="143"/>
      <c r="F72" s="102"/>
      <c r="G72" s="102"/>
      <c r="H72" s="101"/>
      <c r="I72" s="34" t="str">
        <f t="shared" si="5"/>
        <v/>
      </c>
      <c r="J72" s="34" t="str">
        <f t="shared" si="6"/>
        <v/>
      </c>
      <c r="K72" s="141" t="str" cm="1">
        <f t="array" ref="K72">IF(C72&gt;0,IF(D72="Cubic Meter",E72/(_xlfn.XLOOKUP($B$65,$B$32:B$35,$P$32:$P$35)*_xlfn.XLOOKUP($B$65,$B$32:B$35,$F$32:$F$35)*1000000*I72),E72/(C72*1000000)), "")</f>
        <v/>
      </c>
      <c r="L72" s="222"/>
      <c r="M72" s="102"/>
      <c r="N72" s="102"/>
      <c r="O72" s="213"/>
    </row>
    <row r="73" spans="2:15" outlineLevel="1">
      <c r="B73" s="137" t="s">
        <v>156</v>
      </c>
      <c r="C73" s="142"/>
      <c r="D73" s="222"/>
      <c r="E73" s="143"/>
      <c r="F73" s="102"/>
      <c r="G73" s="102"/>
      <c r="H73" s="101"/>
      <c r="I73" s="34" t="str">
        <f t="shared" si="5"/>
        <v/>
      </c>
      <c r="J73" s="34" t="str">
        <f t="shared" si="6"/>
        <v/>
      </c>
      <c r="K73" s="141" t="str" cm="1">
        <f t="array" ref="K73">IF(C73&gt;0,IF(D73="Cubic Meter",E73/(_xlfn.XLOOKUP($B$65,$B$32:B$35,$P$32:$P$35)*_xlfn.XLOOKUP($B$65,$B$32:B$35,$F$32:$F$35)*1000000*I73),E73/(C73*1000000)), "")</f>
        <v/>
      </c>
      <c r="L73" s="222"/>
      <c r="M73" s="102"/>
      <c r="N73" s="102"/>
      <c r="O73" s="213"/>
    </row>
    <row r="74" spans="2:15" outlineLevel="1">
      <c r="B74" s="137" t="s">
        <v>157</v>
      </c>
      <c r="C74" s="142"/>
      <c r="D74" s="222"/>
      <c r="E74" s="143"/>
      <c r="F74" s="102"/>
      <c r="G74" s="102"/>
      <c r="H74" s="101"/>
      <c r="I74" s="34" t="str">
        <f t="shared" si="5"/>
        <v/>
      </c>
      <c r="J74" s="34" t="str">
        <f t="shared" si="6"/>
        <v/>
      </c>
      <c r="K74" s="141" t="str" cm="1">
        <f t="array" ref="K74">IF(C74&gt;0,IF(D74="Cubic Meter",E74/(_xlfn.XLOOKUP($B$65,$B$32:B$35,$P$32:$P$35)*_xlfn.XLOOKUP($B$65,$B$32:B$35,$F$32:$F$35)*1000000*I74),E74/(C74*1000000)), "")</f>
        <v/>
      </c>
      <c r="L74" s="222"/>
      <c r="M74" s="102"/>
      <c r="N74" s="102"/>
      <c r="O74" s="213"/>
    </row>
    <row r="75" spans="2:15" outlineLevel="1">
      <c r="B75" s="137" t="s">
        <v>158</v>
      </c>
      <c r="C75" s="142"/>
      <c r="D75" s="222"/>
      <c r="E75" s="143"/>
      <c r="F75" s="102"/>
      <c r="G75" s="102"/>
      <c r="H75" s="101"/>
      <c r="I75" s="34" t="str">
        <f t="shared" si="5"/>
        <v/>
      </c>
      <c r="J75" s="34" t="str">
        <f t="shared" si="6"/>
        <v/>
      </c>
      <c r="K75" s="141" t="str" cm="1">
        <f t="array" ref="K75">IF(C75&gt;0,IF(D75="Cubic Meter",E75/(_xlfn.XLOOKUP($B$65,$B$32:B$35,$P$32:$P$35)*_xlfn.XLOOKUP($B$65,$B$32:B$35,$F$32:$F$35)*1000000*I75),E75/(C75*1000000)), "")</f>
        <v/>
      </c>
      <c r="L75" s="222"/>
      <c r="M75" s="102"/>
      <c r="N75" s="102"/>
      <c r="O75" s="213"/>
    </row>
    <row r="76" spans="2:15" ht="15.75" outlineLevel="1" thickBot="1">
      <c r="B76" s="137" t="s">
        <v>159</v>
      </c>
      <c r="C76" s="144"/>
      <c r="D76" s="223"/>
      <c r="E76" s="145"/>
      <c r="F76" s="116"/>
      <c r="G76" s="116"/>
      <c r="H76" s="146"/>
      <c r="I76" s="35" t="str">
        <f t="shared" si="5"/>
        <v/>
      </c>
      <c r="J76" s="35" t="str">
        <f t="shared" si="6"/>
        <v/>
      </c>
      <c r="K76" s="344" t="str" cm="1">
        <f t="array" ref="K76">IF(C76&gt;0,IF(D76="Cubic Meter",E76/(_xlfn.XLOOKUP($B$65,$B$32:B$35,$P$32:$P$35)*_xlfn.XLOOKUP($B$65,$B$32:B$35,$F$32:$F$35)*1000000*I76),E76/(C76*1000000)), "")</f>
        <v/>
      </c>
      <c r="L76" s="223"/>
      <c r="M76" s="116"/>
      <c r="N76" s="116"/>
      <c r="O76" s="214"/>
    </row>
    <row r="77" spans="2:15" ht="15.75" outlineLevel="1" thickBot="1"/>
    <row r="78" spans="2:15" ht="30" outlineLevel="1">
      <c r="B78" s="134" t="s">
        <v>163</v>
      </c>
      <c r="C78" s="135" t="s">
        <v>140</v>
      </c>
      <c r="D78" s="124" t="s">
        <v>141</v>
      </c>
      <c r="E78" s="124" t="s">
        <v>142</v>
      </c>
      <c r="F78" s="124" t="s">
        <v>143</v>
      </c>
      <c r="G78" s="124" t="s">
        <v>144</v>
      </c>
      <c r="H78" s="124" t="s">
        <v>161</v>
      </c>
      <c r="I78" s="136" t="s">
        <v>146</v>
      </c>
      <c r="J78" s="124" t="s">
        <v>147</v>
      </c>
      <c r="K78" s="124" t="s">
        <v>148</v>
      </c>
      <c r="L78" s="124" t="s">
        <v>91</v>
      </c>
      <c r="M78" s="124" t="s">
        <v>94</v>
      </c>
      <c r="N78" s="124" t="s">
        <v>96</v>
      </c>
      <c r="O78" s="125" t="s">
        <v>98</v>
      </c>
    </row>
    <row r="79" spans="2:15" outlineLevel="1">
      <c r="B79" s="137" t="s">
        <v>149</v>
      </c>
      <c r="C79" s="138"/>
      <c r="D79" s="221"/>
      <c r="E79" s="139"/>
      <c r="F79" s="109"/>
      <c r="G79" s="109"/>
      <c r="H79" s="140"/>
      <c r="I79" s="34" t="str">
        <f t="shared" ref="I79:I89" si="7">IF(C79&gt;0,C79/SUM($C$79:$C$89), "")</f>
        <v/>
      </c>
      <c r="J79" s="34" t="str">
        <f t="shared" ref="J79:J89" si="8">IF(C79&gt;0,E79/SUM($E$79:$E$89), "")</f>
        <v/>
      </c>
      <c r="K79" s="141" t="str" cm="1">
        <f t="array" ref="K79">IF(C79&gt;0,IF(D79="Cubic Meter",E79/(_xlfn.XLOOKUP($B$78,$B$32:B$35,$P$32:$P$35)*_xlfn.XLOOKUP($B$78,$B$32:B$35,$F$32:$F$35)*1000000*I79),E79/(C79*1000000)), "")</f>
        <v/>
      </c>
      <c r="L79" s="221"/>
      <c r="M79" s="109"/>
      <c r="N79" s="109"/>
      <c r="O79" s="224"/>
    </row>
    <row r="80" spans="2:15" outlineLevel="1">
      <c r="B80" s="137" t="s">
        <v>150</v>
      </c>
      <c r="C80" s="142"/>
      <c r="D80" s="222"/>
      <c r="E80" s="143"/>
      <c r="F80" s="102"/>
      <c r="G80" s="102"/>
      <c r="H80" s="101"/>
      <c r="I80" s="34" t="str">
        <f t="shared" si="7"/>
        <v/>
      </c>
      <c r="J80" s="34" t="str">
        <f t="shared" si="8"/>
        <v/>
      </c>
      <c r="K80" s="141" t="str" cm="1">
        <f t="array" ref="K80">IF(C80&gt;0,IF(D80="Cubic Meter",E80/(_xlfn.XLOOKUP($B$78,$B$32:B$35,$P$32:$P$35)*_xlfn.XLOOKUP($B$78,$B$32:B$35,$F$32:$F$35)*1000000*I80),E80/(C80*1000000)), "")</f>
        <v/>
      </c>
      <c r="L80" s="222"/>
      <c r="M80" s="102"/>
      <c r="N80" s="102"/>
      <c r="O80" s="213"/>
    </row>
    <row r="81" spans="2:15" outlineLevel="1">
      <c r="B81" s="137" t="s">
        <v>151</v>
      </c>
      <c r="C81" s="142"/>
      <c r="D81" s="222"/>
      <c r="E81" s="143"/>
      <c r="F81" s="102"/>
      <c r="G81" s="102"/>
      <c r="H81" s="101"/>
      <c r="I81" s="34" t="str">
        <f t="shared" si="7"/>
        <v/>
      </c>
      <c r="J81" s="34" t="str">
        <f t="shared" si="8"/>
        <v/>
      </c>
      <c r="K81" s="141" t="str" cm="1">
        <f t="array" ref="K81">IF(C81&gt;0,IF(D81="Cubic Meter",E81/(_xlfn.XLOOKUP($B$78,$B$32:B$35,$P$32:$P$35)*_xlfn.XLOOKUP($B$78,$B$32:B$35,$F$32:$F$35)*1000000*I81),E81/(C81*1000000)), "")</f>
        <v/>
      </c>
      <c r="L81" s="222"/>
      <c r="M81" s="102"/>
      <c r="N81" s="102"/>
      <c r="O81" s="213"/>
    </row>
    <row r="82" spans="2:15" outlineLevel="1">
      <c r="B82" s="137" t="s">
        <v>152</v>
      </c>
      <c r="C82" s="142"/>
      <c r="D82" s="222"/>
      <c r="E82" s="143"/>
      <c r="F82" s="102"/>
      <c r="G82" s="102"/>
      <c r="H82" s="101"/>
      <c r="I82" s="34" t="str">
        <f t="shared" si="7"/>
        <v/>
      </c>
      <c r="J82" s="34" t="str">
        <f t="shared" si="8"/>
        <v/>
      </c>
      <c r="K82" s="141" t="str" cm="1">
        <f t="array" ref="K82">IF(C82&gt;0,IF(D82="Cubic Meter",E82/(_xlfn.XLOOKUP($B$78,$B$32:B$35,$P$32:$P$35)*_xlfn.XLOOKUP($B$78,$B$32:B$35,$F$32:$F$35)*1000000*I82),E82/(C82*1000000)), "")</f>
        <v/>
      </c>
      <c r="L82" s="222"/>
      <c r="M82" s="102"/>
      <c r="N82" s="102"/>
      <c r="O82" s="213"/>
    </row>
    <row r="83" spans="2:15" outlineLevel="1">
      <c r="B83" s="137" t="s">
        <v>153</v>
      </c>
      <c r="C83" s="142"/>
      <c r="D83" s="222"/>
      <c r="E83" s="143"/>
      <c r="F83" s="102"/>
      <c r="G83" s="102"/>
      <c r="H83" s="101"/>
      <c r="I83" s="34" t="str">
        <f t="shared" si="7"/>
        <v/>
      </c>
      <c r="J83" s="34" t="str">
        <f t="shared" si="8"/>
        <v/>
      </c>
      <c r="K83" s="141" t="str" cm="1">
        <f t="array" ref="K83">IF(C83&gt;0,IF(D83="Cubic Meter",E83/(_xlfn.XLOOKUP($B$78,$B$32:B$35,$P$32:$P$35)*_xlfn.XLOOKUP($B$78,$B$32:B$35,$F$32:$F$35)*1000000*I83),E83/(C83*1000000)), "")</f>
        <v/>
      </c>
      <c r="L83" s="222"/>
      <c r="M83" s="102"/>
      <c r="N83" s="102"/>
      <c r="O83" s="213"/>
    </row>
    <row r="84" spans="2:15" outlineLevel="1">
      <c r="B84" s="137" t="s">
        <v>154</v>
      </c>
      <c r="C84" s="142"/>
      <c r="D84" s="222"/>
      <c r="E84" s="143"/>
      <c r="F84" s="102"/>
      <c r="G84" s="102"/>
      <c r="H84" s="101"/>
      <c r="I84" s="34" t="str">
        <f t="shared" si="7"/>
        <v/>
      </c>
      <c r="J84" s="34" t="str">
        <f t="shared" si="8"/>
        <v/>
      </c>
      <c r="K84" s="141" t="str" cm="1">
        <f t="array" ref="K84">IF(C84&gt;0,IF(D84="Cubic Meter",E84/(_xlfn.XLOOKUP($B$78,$B$32:B$35,$P$32:$P$35)*_xlfn.XLOOKUP($B$78,$B$32:B$35,$F$32:$F$35)*1000000*I84),E84/(C84*1000000)), "")</f>
        <v/>
      </c>
      <c r="L84" s="222"/>
      <c r="M84" s="102"/>
      <c r="N84" s="102"/>
      <c r="O84" s="213"/>
    </row>
    <row r="85" spans="2:15" outlineLevel="1">
      <c r="B85" s="137" t="s">
        <v>155</v>
      </c>
      <c r="C85" s="142"/>
      <c r="D85" s="222"/>
      <c r="E85" s="143"/>
      <c r="F85" s="102"/>
      <c r="G85" s="102"/>
      <c r="H85" s="101"/>
      <c r="I85" s="34" t="str">
        <f t="shared" si="7"/>
        <v/>
      </c>
      <c r="J85" s="34" t="str">
        <f t="shared" si="8"/>
        <v/>
      </c>
      <c r="K85" s="141" t="str" cm="1">
        <f t="array" ref="K85">IF(C85&gt;0,IF(D85="Cubic Meter",E85/(_xlfn.XLOOKUP($B$78,$B$32:B$35,$P$32:$P$35)*_xlfn.XLOOKUP($B$78,$B$32:B$35,$F$32:$F$35)*1000000*I85),E85/(C85*1000000)), "")</f>
        <v/>
      </c>
      <c r="L85" s="222"/>
      <c r="M85" s="102"/>
      <c r="N85" s="102"/>
      <c r="O85" s="213"/>
    </row>
    <row r="86" spans="2:15" outlineLevel="1">
      <c r="B86" s="137" t="s">
        <v>156</v>
      </c>
      <c r="C86" s="142"/>
      <c r="D86" s="222"/>
      <c r="E86" s="143"/>
      <c r="F86" s="102"/>
      <c r="G86" s="102"/>
      <c r="H86" s="101"/>
      <c r="I86" s="34" t="str">
        <f t="shared" si="7"/>
        <v/>
      </c>
      <c r="J86" s="34" t="str">
        <f t="shared" si="8"/>
        <v/>
      </c>
      <c r="K86" s="141" t="str" cm="1">
        <f t="array" ref="K86">IF(C86&gt;0,IF(D86="Cubic Meter",E86/(_xlfn.XLOOKUP($B$78,$B$32:B$35,$P$32:$P$35)*_xlfn.XLOOKUP($B$78,$B$32:B$35,$F$32:$F$35)*1000000*I86),E86/(C86*1000000)), "")</f>
        <v/>
      </c>
      <c r="L86" s="222"/>
      <c r="M86" s="102"/>
      <c r="N86" s="102"/>
      <c r="O86" s="213"/>
    </row>
    <row r="87" spans="2:15" outlineLevel="1">
      <c r="B87" s="137" t="s">
        <v>157</v>
      </c>
      <c r="C87" s="142"/>
      <c r="D87" s="222"/>
      <c r="E87" s="143"/>
      <c r="F87" s="102"/>
      <c r="G87" s="102"/>
      <c r="H87" s="101"/>
      <c r="I87" s="34" t="str">
        <f t="shared" si="7"/>
        <v/>
      </c>
      <c r="J87" s="34" t="str">
        <f t="shared" si="8"/>
        <v/>
      </c>
      <c r="K87" s="141" t="str" cm="1">
        <f t="array" ref="K87">IF(C87&gt;0,IF(D87="Cubic Meter",E87/(_xlfn.XLOOKUP($B$78,$B$32:B$35,$P$32:$P$35)*_xlfn.XLOOKUP($B$78,$B$32:B$35,$F$32:$F$35)*1000000*I87),E87/(C87*1000000)), "")</f>
        <v/>
      </c>
      <c r="L87" s="222"/>
      <c r="M87" s="102"/>
      <c r="N87" s="102"/>
      <c r="O87" s="213"/>
    </row>
    <row r="88" spans="2:15" outlineLevel="1">
      <c r="B88" s="137" t="s">
        <v>158</v>
      </c>
      <c r="C88" s="142"/>
      <c r="D88" s="222"/>
      <c r="E88" s="143"/>
      <c r="F88" s="102"/>
      <c r="G88" s="102"/>
      <c r="H88" s="101"/>
      <c r="I88" s="34" t="str">
        <f t="shared" si="7"/>
        <v/>
      </c>
      <c r="J88" s="34" t="str">
        <f t="shared" si="8"/>
        <v/>
      </c>
      <c r="K88" s="141" t="str" cm="1">
        <f t="array" ref="K88">IF(C88&gt;0,IF(D88="Cubic Meter",E88/(_xlfn.XLOOKUP($B$78,$B$32:B$35,$P$32:$P$35)*_xlfn.XLOOKUP($B$78,$B$32:B$35,$F$32:$F$35)*1000000*I88),E88/(C88*1000000)), "")</f>
        <v/>
      </c>
      <c r="L88" s="222"/>
      <c r="M88" s="102"/>
      <c r="N88" s="102"/>
      <c r="O88" s="213"/>
    </row>
    <row r="89" spans="2:15" ht="15.75" outlineLevel="1" thickBot="1">
      <c r="B89" s="137" t="s">
        <v>159</v>
      </c>
      <c r="C89" s="144"/>
      <c r="D89" s="223"/>
      <c r="E89" s="145"/>
      <c r="F89" s="116"/>
      <c r="G89" s="116"/>
      <c r="H89" s="146"/>
      <c r="I89" s="35" t="str">
        <f t="shared" si="7"/>
        <v/>
      </c>
      <c r="J89" s="35" t="str">
        <f t="shared" si="8"/>
        <v/>
      </c>
      <c r="K89" s="344" t="str" cm="1">
        <f t="array" ref="K89">IF(C89&gt;0,IF(D89="Cubic Meter",E89/(_xlfn.XLOOKUP($B$78,$B$32:B$35,$P$32:$P$35)*_xlfn.XLOOKUP($B$78,$B$32:B$35,$F$32:$F$35)*1000000*I89),E89/(C89*1000000)), "")</f>
        <v/>
      </c>
      <c r="L89" s="223"/>
      <c r="M89" s="116"/>
      <c r="N89" s="116"/>
      <c r="O89" s="214"/>
    </row>
  </sheetData>
  <mergeCells count="14">
    <mergeCell ref="Y5:AB5"/>
    <mergeCell ref="AC5:AF5"/>
    <mergeCell ref="B37:O37"/>
    <mergeCell ref="A8:A27"/>
    <mergeCell ref="A4:A5"/>
    <mergeCell ref="B4:B5"/>
    <mergeCell ref="L4:X4"/>
    <mergeCell ref="S5:V5"/>
    <mergeCell ref="W5:X5"/>
    <mergeCell ref="C4:K4"/>
    <mergeCell ref="C5:K5"/>
    <mergeCell ref="L5:R5"/>
    <mergeCell ref="C9:K27"/>
    <mergeCell ref="B29:P29"/>
  </mergeCells>
  <phoneticPr fontId="5" type="noConversion"/>
  <dataValidations count="1">
    <dataValidation type="list" allowBlank="1" showInputMessage="1" showErrorMessage="1" sqref="D40:D50 D53:D63 D79:D89 D66:D76" xr:uid="{AEDA3083-4820-FA4F-9ACA-9A86D392B0F8}">
      <formula1>"Metric Tonne, Cubic Meter"</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339BCAFC-C998-435F-B913-F6C28905E7C7}">
          <x14:formula1>
            <xm:f>References!$O$20:$O$21</xm:f>
          </x14:formula1>
          <xm:sqref>E8</xm:sqref>
        </x14:dataValidation>
        <x14:dataValidation type="list" allowBlank="1" showInputMessage="1" showErrorMessage="1" xr:uid="{7ED4D3B7-FA9B-4F85-897D-B276B0D99842}">
          <x14:formula1>
            <xm:f>References!$W$20:$W$24</xm:f>
          </x14:formula1>
          <xm:sqref>K8 X8:X27</xm:sqref>
        </x14:dataValidation>
        <x14:dataValidation type="list" allowBlank="1" showInputMessage="1" showErrorMessage="1" xr:uid="{D18867AC-C817-8540-9633-C28792264EC8}">
          <x14:formula1>
            <xm:f>References!$C$20:$C$21</xm:f>
          </x14:formula1>
          <xm:sqref>C32:C35</xm:sqref>
        </x14:dataValidation>
        <x14:dataValidation type="list" allowBlank="1" showInputMessage="1" showErrorMessage="1" xr:uid="{86A09F93-43F4-9945-8FDD-F63428CAF040}">
          <x14:formula1>
            <xm:f>References!$V$20:$V$33</xm:f>
          </x14:formula1>
          <xm:sqref>E32:E35</xm:sqref>
        </x14:dataValidation>
        <x14:dataValidation type="list" allowBlank="1" showInputMessage="1" showErrorMessage="1" xr:uid="{2DF20DA5-02DD-1E45-81CC-D503AD2F0E56}">
          <x14:formula1>
            <xm:f>References!$U$20:$U$127</xm:f>
          </x14:formula1>
          <xm:sqref>L40:L50 L66:L76 L79:L89 L53:L63</xm:sqref>
        </x14:dataValidation>
        <x14:dataValidation type="list" allowBlank="1" showInputMessage="1" showErrorMessage="1" xr:uid="{96A5A821-B6AD-8246-94F1-AF6C72B4C235}">
          <x14:formula1>
            <xm:f>References!$Q$20:$Q$24</xm:f>
          </x14:formula1>
          <xm:sqref>O40:O50 O66:O76 N32:N35 O53:O63 O79:O89</xm:sqref>
        </x14:dataValidation>
        <x14:dataValidation type="list" allowBlank="1" showInputMessage="1" showErrorMessage="1" xr:uid="{D4485687-7DDD-40DA-B1E7-EBE77CBDD4DA}">
          <x14:formula1>
            <xm:f>References!$T$20:$T$32</xm:f>
          </x14:formula1>
          <xm:sqref>I8</xm:sqref>
        </x14:dataValidation>
        <x14:dataValidation type="list" allowBlank="1" showInputMessage="1" showErrorMessage="1" xr:uid="{01C32271-4F83-B743-B640-F8424D3FB500}">
          <x14:formula1>
            <xm:f>References!$B$20:$B$31</xm:f>
          </x14:formula1>
          <xm:sqref>S6</xm:sqref>
        </x14:dataValidation>
        <x14:dataValidation type="list" allowBlank="1" showInputMessage="1" showErrorMessage="1" xr:uid="{86EFF9A2-2084-0148-9795-4AA3317ADF62}">
          <x14:formula1>
            <xm:f>References!$B$33:$B$44</xm:f>
          </x14:formula1>
          <xm:sqref>T6</xm:sqref>
        </x14:dataValidation>
        <x14:dataValidation type="list" allowBlank="1" showInputMessage="1" showErrorMessage="1" xr:uid="{72F66B25-3ADD-924F-A17E-F5E6A8F9AA76}">
          <x14:formula1>
            <xm:f>References!$B$46:$B$57</xm:f>
          </x14:formula1>
          <xm:sqref>U6</xm:sqref>
        </x14:dataValidation>
        <x14:dataValidation type="list" allowBlank="1" showInputMessage="1" showErrorMessage="1" xr:uid="{7A82DBBF-AB46-4C9A-BD6D-E8075C366A69}">
          <x14:formula1>
            <xm:f>References!$B$59:$B$70</xm:f>
          </x14:formula1>
          <xm:sqref>V6:W6</xm:sqref>
        </x14:dataValidation>
        <x14:dataValidation type="list" allowBlank="1" showInputMessage="1" showErrorMessage="1" xr:uid="{61017127-E38E-614E-942E-8E47DC689E05}">
          <x14:formula1>
            <xm:f>References!$E$21:$E$30</xm:f>
          </x14:formula1>
          <xm:sqref>D32:D35</xm:sqref>
        </x14:dataValidation>
        <x14:dataValidation type="list" allowBlank="1" showInputMessage="1" showErrorMessage="1" xr:uid="{EEF89020-68D8-444F-BCD7-1D363C81F0E8}">
          <x14:formula1>
            <xm:f>References!$Y$20:$Y$21</xm:f>
          </x14:formula1>
          <xm:sqref>S5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EC863-01B5-4667-897C-4C0A5D60FD14}">
  <sheetPr>
    <tabColor theme="2"/>
  </sheetPr>
  <dimension ref="A2:Y271"/>
  <sheetViews>
    <sheetView showGridLines="0" topLeftCell="F20" zoomScale="70" zoomScaleNormal="70" workbookViewId="0">
      <selection activeCell="T32" sqref="T32"/>
    </sheetView>
  </sheetViews>
  <sheetFormatPr defaultColWidth="8.85546875" defaultRowHeight="15" outlineLevelRow="1"/>
  <cols>
    <col min="1" max="1" width="10.28515625" style="31" customWidth="1"/>
    <col min="2" max="6" width="35.7109375" style="31" customWidth="1"/>
    <col min="7" max="9" width="8.85546875" style="31" customWidth="1"/>
    <col min="10" max="10" width="10.42578125" style="31" customWidth="1"/>
    <col min="11" max="11" width="8.85546875" style="31" customWidth="1"/>
    <col min="12" max="19" width="8.85546875" style="31"/>
    <col min="20" max="20" width="21.7109375" style="31" customWidth="1"/>
    <col min="21" max="21" width="95.42578125" style="31" customWidth="1"/>
    <col min="22" max="22" width="87.7109375" style="31" customWidth="1"/>
    <col min="23" max="23" width="27.42578125" style="31" customWidth="1"/>
    <col min="24" max="24" width="8.85546875" style="31"/>
    <col min="25" max="25" width="51.140625" style="31" bestFit="1" customWidth="1"/>
    <col min="26" max="16384" width="8.85546875" style="31"/>
  </cols>
  <sheetData>
    <row r="2" spans="1:20" ht="19.5" thickBot="1">
      <c r="B2" s="36" t="s">
        <v>164</v>
      </c>
      <c r="C2" s="36"/>
      <c r="D2" s="36"/>
      <c r="E2" s="36"/>
      <c r="F2" s="36"/>
      <c r="G2" s="36"/>
      <c r="H2" s="36"/>
      <c r="I2" s="36"/>
      <c r="J2" s="36"/>
      <c r="K2" s="36"/>
      <c r="L2" s="36"/>
      <c r="M2" s="36"/>
      <c r="N2" s="36"/>
      <c r="O2" s="36"/>
      <c r="P2" s="36"/>
      <c r="Q2" s="36"/>
      <c r="R2" s="36"/>
      <c r="S2" s="36"/>
      <c r="T2" s="36"/>
    </row>
    <row r="3" spans="1:20" ht="15.75" thickBot="1">
      <c r="G3" s="37"/>
      <c r="H3" s="37"/>
    </row>
    <row r="4" spans="1:20">
      <c r="A4" s="38"/>
      <c r="B4" s="38"/>
      <c r="C4" s="416" t="s">
        <v>164</v>
      </c>
      <c r="D4" s="417"/>
      <c r="E4" s="418" t="s">
        <v>165</v>
      </c>
      <c r="F4" s="419"/>
    </row>
    <row r="5" spans="1:20">
      <c r="C5" s="39" t="s">
        <v>166</v>
      </c>
      <c r="D5" s="40" t="s">
        <v>167</v>
      </c>
      <c r="E5" s="41" t="s">
        <v>168</v>
      </c>
      <c r="F5" s="42" t="s">
        <v>169</v>
      </c>
    </row>
    <row r="6" spans="1:20">
      <c r="B6" s="43" t="s">
        <v>47</v>
      </c>
      <c r="C6" s="39" t="s">
        <v>170</v>
      </c>
      <c r="D6" s="40" t="s">
        <v>171</v>
      </c>
      <c r="E6" s="41" t="s">
        <v>136</v>
      </c>
      <c r="F6" s="44" t="s">
        <v>172</v>
      </c>
    </row>
    <row r="7" spans="1:20">
      <c r="B7" s="31" t="s">
        <v>173</v>
      </c>
      <c r="C7" s="45">
        <v>91.60123456790123</v>
      </c>
      <c r="D7" s="34">
        <v>78.10123456790123</v>
      </c>
      <c r="E7" s="46">
        <v>4.0500000000000001E-2</v>
      </c>
      <c r="F7" s="47">
        <v>13.5</v>
      </c>
    </row>
    <row r="8" spans="1:20">
      <c r="B8" s="31" t="s">
        <v>174</v>
      </c>
      <c r="C8" s="45">
        <v>91.251219512195121</v>
      </c>
      <c r="D8" s="34">
        <v>78.051219512195118</v>
      </c>
      <c r="E8" s="46">
        <v>4.1000000000000002E-2</v>
      </c>
      <c r="F8" s="47">
        <v>13.2</v>
      </c>
    </row>
    <row r="9" spans="1:20">
      <c r="B9" s="31" t="s">
        <v>175</v>
      </c>
      <c r="C9" s="45">
        <v>90.631850117096022</v>
      </c>
      <c r="D9" s="34">
        <v>76.231850117096016</v>
      </c>
      <c r="E9" s="46">
        <v>4.2700000000000002E-2</v>
      </c>
      <c r="F9" s="47">
        <v>14.4</v>
      </c>
    </row>
    <row r="10" spans="1:20">
      <c r="B10" s="31" t="s">
        <v>176</v>
      </c>
      <c r="C10" s="45">
        <v>91.02538391038695</v>
      </c>
      <c r="D10" s="34">
        <v>72.52538391038695</v>
      </c>
      <c r="E10" s="46">
        <v>4.9099999999999998E-2</v>
      </c>
      <c r="F10" s="47">
        <v>18.5</v>
      </c>
    </row>
    <row r="11" spans="1:20">
      <c r="B11" s="31" t="s">
        <v>177</v>
      </c>
      <c r="C11" s="45">
        <v>83.834102851323834</v>
      </c>
      <c r="D11" s="34">
        <v>65.334102851323834</v>
      </c>
      <c r="E11" s="46">
        <v>4.9099999999999998E-2</v>
      </c>
      <c r="F11" s="47">
        <v>18.5</v>
      </c>
    </row>
    <row r="12" spans="1:20">
      <c r="B12" s="31" t="s">
        <v>178</v>
      </c>
      <c r="C12" s="45">
        <v>76.129158859470479</v>
      </c>
      <c r="D12" s="34">
        <v>57.629158859470479</v>
      </c>
      <c r="E12" s="46">
        <v>4.9099999999999998E-2</v>
      </c>
      <c r="F12" s="47">
        <v>18.5</v>
      </c>
    </row>
    <row r="13" spans="1:20">
      <c r="B13" s="31" t="s">
        <v>179</v>
      </c>
      <c r="C13" s="45">
        <v>88.457069246435864</v>
      </c>
      <c r="D13" s="34">
        <v>69.957069246435864</v>
      </c>
      <c r="E13" s="46">
        <v>4.9099999999999998E-2</v>
      </c>
      <c r="F13" s="47">
        <v>18.5</v>
      </c>
    </row>
    <row r="14" spans="1:20">
      <c r="B14" s="31" t="s">
        <v>180</v>
      </c>
      <c r="C14" s="45">
        <v>75.101832993890028</v>
      </c>
      <c r="D14" s="34">
        <v>56.601832993890021</v>
      </c>
      <c r="E14" s="46">
        <v>4.9099999999999998E-2</v>
      </c>
      <c r="F14" s="47">
        <v>18.5</v>
      </c>
    </row>
    <row r="15" spans="1:20">
      <c r="B15" s="31" t="s">
        <v>181</v>
      </c>
      <c r="C15" s="81">
        <v>123.56451612903226</v>
      </c>
      <c r="D15" s="82">
        <v>2.5645161290322562</v>
      </c>
      <c r="E15" s="57">
        <v>1.8599999999999998E-2</v>
      </c>
      <c r="F15" s="83">
        <v>121</v>
      </c>
    </row>
    <row r="16" spans="1:20" ht="15.75" thickBot="1">
      <c r="B16" s="31" t="s">
        <v>182</v>
      </c>
      <c r="C16" s="48">
        <v>102.79246231155778</v>
      </c>
      <c r="D16" s="35">
        <v>71.492462311557787</v>
      </c>
      <c r="E16" s="49">
        <v>1.9900000000000001E-2</v>
      </c>
      <c r="F16" s="50">
        <v>31.3</v>
      </c>
    </row>
    <row r="17" spans="2:25">
      <c r="N17" s="51"/>
    </row>
    <row r="19" spans="2:25" outlineLevel="1">
      <c r="B19" s="420" t="s">
        <v>183</v>
      </c>
      <c r="C19" s="421"/>
      <c r="D19" s="421"/>
      <c r="E19" s="421"/>
      <c r="F19" s="421"/>
      <c r="G19" s="421"/>
      <c r="H19" s="421"/>
      <c r="I19" s="421"/>
      <c r="J19" s="421"/>
      <c r="K19" s="421"/>
      <c r="L19" s="421"/>
      <c r="M19" s="421"/>
      <c r="N19" s="421"/>
      <c r="O19" s="421"/>
      <c r="P19" s="421"/>
      <c r="Q19" s="421"/>
      <c r="R19" s="421"/>
      <c r="S19" s="421"/>
      <c r="T19" s="421"/>
      <c r="U19" s="421"/>
      <c r="V19" s="421"/>
      <c r="W19" s="421"/>
      <c r="X19" s="421"/>
      <c r="Y19" s="421"/>
    </row>
    <row r="20" spans="2:25" ht="15.75" outlineLevel="1">
      <c r="B20" s="64" t="s">
        <v>173</v>
      </c>
      <c r="C20" s="31" t="s">
        <v>184</v>
      </c>
      <c r="D20" s="31" t="s">
        <v>185</v>
      </c>
      <c r="E20" s="31" t="s">
        <v>186</v>
      </c>
      <c r="F20" s="31" t="s">
        <v>187</v>
      </c>
      <c r="G20" s="31" t="s">
        <v>188</v>
      </c>
      <c r="J20" s="31" t="s">
        <v>189</v>
      </c>
      <c r="L20" s="31" t="s">
        <v>190</v>
      </c>
      <c r="N20" s="31" t="s">
        <v>191</v>
      </c>
      <c r="O20" s="31" t="s">
        <v>192</v>
      </c>
      <c r="Q20" s="31" t="s">
        <v>193</v>
      </c>
      <c r="T20" s="31" t="s">
        <v>194</v>
      </c>
      <c r="U20" s="77" t="s">
        <v>195</v>
      </c>
      <c r="V20" s="31" t="s">
        <v>196</v>
      </c>
      <c r="W20" s="31" t="s">
        <v>197</v>
      </c>
      <c r="X20" s="4" t="s">
        <v>198</v>
      </c>
      <c r="Y20" s="32" t="s">
        <v>113</v>
      </c>
    </row>
    <row r="21" spans="2:25" ht="15.75" outlineLevel="1">
      <c r="B21" s="52" t="s">
        <v>174</v>
      </c>
      <c r="C21" s="31" t="s">
        <v>199</v>
      </c>
      <c r="D21" s="31" t="s">
        <v>200</v>
      </c>
      <c r="E21" s="31" t="str">
        <f>+B20</f>
        <v>HFO</v>
      </c>
      <c r="F21" s="31" t="b">
        <v>1</v>
      </c>
      <c r="G21" s="31" t="s">
        <v>201</v>
      </c>
      <c r="H21" s="31">
        <v>1000000</v>
      </c>
      <c r="J21" s="31">
        <v>0</v>
      </c>
      <c r="L21" s="31">
        <f>IF(ISERROR(MATCH('DQ Template'!S6,$B$30:$B$39,0)),'DQ Template'!S6,"")</f>
        <v>0</v>
      </c>
      <c r="N21" s="31">
        <v>2</v>
      </c>
      <c r="O21" s="31" t="s">
        <v>202</v>
      </c>
      <c r="Q21" s="31" t="s">
        <v>203</v>
      </c>
      <c r="T21" s="31" t="s">
        <v>204</v>
      </c>
      <c r="U21" s="77" t="s">
        <v>205</v>
      </c>
      <c r="V21" s="31" t="s">
        <v>206</v>
      </c>
      <c r="W21" s="31" t="s">
        <v>207</v>
      </c>
      <c r="X21" s="4" t="s">
        <v>208</v>
      </c>
      <c r="Y21" s="32" t="s">
        <v>209</v>
      </c>
    </row>
    <row r="22" spans="2:25" ht="15.75" outlineLevel="1">
      <c r="B22" s="52" t="s">
        <v>175</v>
      </c>
      <c r="E22" s="31" t="str">
        <f t="shared" ref="E22:E28" si="0">+B21</f>
        <v>LFO</v>
      </c>
      <c r="F22" s="31" t="b">
        <v>0</v>
      </c>
      <c r="G22" s="31" t="s">
        <v>210</v>
      </c>
      <c r="H22" s="31">
        <v>1000000</v>
      </c>
      <c r="J22" s="31" t="str">
        <f>"N/A"</f>
        <v>N/A</v>
      </c>
      <c r="L22" s="31">
        <f>IF(ISERROR(MATCH('DQ Template'!T6,$B$30:$B$39,0)),'DQ Template'!T6,"")</f>
        <v>0</v>
      </c>
      <c r="O22" s="31" t="s">
        <v>211</v>
      </c>
      <c r="Q22" s="31" t="s">
        <v>212</v>
      </c>
      <c r="T22" s="31" t="s">
        <v>213</v>
      </c>
      <c r="U22" s="77" t="s">
        <v>214</v>
      </c>
      <c r="V22" s="31" t="s">
        <v>215</v>
      </c>
      <c r="W22" s="31" t="s">
        <v>216</v>
      </c>
      <c r="X22" s="4" t="s">
        <v>217</v>
      </c>
      <c r="Y22" s="4"/>
    </row>
    <row r="23" spans="2:25" ht="15.75" outlineLevel="1">
      <c r="B23" s="52" t="s">
        <v>176</v>
      </c>
      <c r="E23" s="31" t="str">
        <f t="shared" si="0"/>
        <v>MGO</v>
      </c>
      <c r="L23" s="31">
        <f>IF(ISERROR(MATCH('DQ Template'!U6,$B$30:$B$39,0)),'DQ Template'!U6,"")</f>
        <v>0</v>
      </c>
      <c r="O23" s="31" t="s">
        <v>218</v>
      </c>
      <c r="Q23" s="31" t="s">
        <v>219</v>
      </c>
      <c r="T23" s="31" t="s">
        <v>220</v>
      </c>
      <c r="U23" s="77" t="s">
        <v>221</v>
      </c>
      <c r="V23" s="31" t="s">
        <v>222</v>
      </c>
      <c r="W23" s="31" t="s">
        <v>223</v>
      </c>
      <c r="X23" s="4" t="s">
        <v>224</v>
      </c>
      <c r="Y23" s="4"/>
    </row>
    <row r="24" spans="2:25" ht="15.75" outlineLevel="1">
      <c r="B24" s="52" t="s">
        <v>177</v>
      </c>
      <c r="E24" s="31" t="str">
        <f t="shared" si="0"/>
        <v>LNG otto medium speed​</v>
      </c>
      <c r="T24" s="31" t="s">
        <v>225</v>
      </c>
      <c r="U24" s="77" t="s">
        <v>226</v>
      </c>
      <c r="V24" s="31" t="s">
        <v>227</v>
      </c>
      <c r="W24" s="31" t="s">
        <v>228</v>
      </c>
      <c r="X24" s="4" t="s">
        <v>229</v>
      </c>
      <c r="Y24" s="4"/>
    </row>
    <row r="25" spans="2:25" ht="15.75" outlineLevel="1">
      <c r="B25" s="52" t="s">
        <v>178</v>
      </c>
      <c r="E25" s="31" t="str">
        <f t="shared" si="0"/>
        <v>LNG otto slow speed​</v>
      </c>
      <c r="T25" s="31" t="s">
        <v>230</v>
      </c>
      <c r="U25" s="78" t="s">
        <v>231</v>
      </c>
      <c r="V25" s="31" t="s">
        <v>232</v>
      </c>
      <c r="X25" s="4" t="s">
        <v>233</v>
      </c>
      <c r="Y25" s="4"/>
    </row>
    <row r="26" spans="2:25" ht="15.75" outlineLevel="1">
      <c r="B26" s="52" t="s">
        <v>179</v>
      </c>
      <c r="E26" s="31" t="str">
        <f t="shared" si="0"/>
        <v>LNG diesel slow speed</v>
      </c>
      <c r="T26" s="31" t="s">
        <v>234</v>
      </c>
      <c r="U26" s="78" t="s">
        <v>235</v>
      </c>
      <c r="V26" s="31" t="s">
        <v>236</v>
      </c>
      <c r="X26" s="4" t="s">
        <v>237</v>
      </c>
      <c r="Y26" s="4"/>
    </row>
    <row r="27" spans="2:25" ht="15.75" outlineLevel="1">
      <c r="B27" s="52" t="s">
        <v>180</v>
      </c>
      <c r="E27" s="31" t="str">
        <f t="shared" si="0"/>
        <v>LNG Lean-burn spark ignited (LBSI)</v>
      </c>
      <c r="T27" s="31" t="s">
        <v>238</v>
      </c>
      <c r="U27" s="78" t="s">
        <v>239</v>
      </c>
      <c r="V27" s="31" t="s">
        <v>240</v>
      </c>
      <c r="X27" s="4" t="s">
        <v>241</v>
      </c>
      <c r="Y27" s="4"/>
    </row>
    <row r="28" spans="2:25" ht="15.75" outlineLevel="1">
      <c r="B28" s="52" t="s">
        <v>181</v>
      </c>
      <c r="E28" s="31" t="str">
        <f t="shared" si="0"/>
        <v>LNG Boiler</v>
      </c>
      <c r="T28" s="31" t="s">
        <v>242</v>
      </c>
      <c r="U28" s="78" t="s">
        <v>243</v>
      </c>
      <c r="V28" s="31" t="s">
        <v>244</v>
      </c>
      <c r="X28" s="4" t="s">
        <v>245</v>
      </c>
      <c r="Y28" s="4"/>
    </row>
    <row r="29" spans="2:25" ht="15.75" outlineLevel="1">
      <c r="B29" s="52" t="s">
        <v>182</v>
      </c>
      <c r="E29" s="31" t="s">
        <v>181</v>
      </c>
      <c r="T29" s="31" t="s">
        <v>246</v>
      </c>
      <c r="U29" s="78" t="s">
        <v>247</v>
      </c>
      <c r="V29" s="31" t="s">
        <v>248</v>
      </c>
      <c r="X29" s="4" t="s">
        <v>249</v>
      </c>
      <c r="Y29" s="4"/>
    </row>
    <row r="30" spans="2:25" ht="15.75" outlineLevel="1">
      <c r="B30" s="52" t="s">
        <v>139</v>
      </c>
      <c r="E30" s="31" t="str">
        <f>+B29</f>
        <v>Methanol</v>
      </c>
      <c r="T30" s="31" t="s">
        <v>250</v>
      </c>
      <c r="U30" s="78" t="s">
        <v>251</v>
      </c>
      <c r="V30" s="31" t="s">
        <v>252</v>
      </c>
      <c r="X30" s="4" t="s">
        <v>253</v>
      </c>
      <c r="Y30" s="4"/>
    </row>
    <row r="31" spans="2:25" ht="15.75" outlineLevel="1">
      <c r="B31" s="52" t="s">
        <v>7</v>
      </c>
      <c r="E31" s="31" t="s">
        <v>254</v>
      </c>
      <c r="T31" s="31" t="s">
        <v>255</v>
      </c>
      <c r="U31" s="78" t="s">
        <v>256</v>
      </c>
      <c r="V31" s="31" t="s">
        <v>257</v>
      </c>
      <c r="X31" s="4" t="s">
        <v>258</v>
      </c>
      <c r="Y31" s="4"/>
    </row>
    <row r="32" spans="2:25" ht="15.75" outlineLevel="1">
      <c r="B32" s="52"/>
      <c r="E32" s="79" t="s">
        <v>7</v>
      </c>
      <c r="T32" s="31" t="s">
        <v>259</v>
      </c>
      <c r="U32" s="78" t="s">
        <v>260</v>
      </c>
      <c r="V32" s="31" t="s">
        <v>261</v>
      </c>
      <c r="X32" s="4" t="s">
        <v>262</v>
      </c>
      <c r="Y32" s="4"/>
    </row>
    <row r="33" spans="2:25" ht="15.75" outlineLevel="1">
      <c r="B33" s="52" t="s">
        <v>173</v>
      </c>
      <c r="U33" s="78" t="s">
        <v>263</v>
      </c>
      <c r="V33" s="31" t="s">
        <v>264</v>
      </c>
      <c r="X33" s="4" t="s">
        <v>265</v>
      </c>
      <c r="Y33" s="4"/>
    </row>
    <row r="34" spans="2:25" ht="15.75" outlineLevel="1">
      <c r="B34" s="52" t="s">
        <v>174</v>
      </c>
      <c r="U34" s="78" t="s">
        <v>266</v>
      </c>
      <c r="X34" s="4" t="s">
        <v>267</v>
      </c>
      <c r="Y34" s="4"/>
    </row>
    <row r="35" spans="2:25" ht="15.75" outlineLevel="1">
      <c r="B35" s="52" t="s">
        <v>175</v>
      </c>
      <c r="E35" s="32"/>
      <c r="U35" s="78" t="s">
        <v>268</v>
      </c>
      <c r="X35" s="4" t="s">
        <v>269</v>
      </c>
      <c r="Y35" s="4"/>
    </row>
    <row r="36" spans="2:25" ht="15.75" outlineLevel="1">
      <c r="B36" s="52" t="s">
        <v>176</v>
      </c>
      <c r="E36" s="32"/>
      <c r="U36" s="78" t="s">
        <v>270</v>
      </c>
      <c r="X36" s="4" t="s">
        <v>271</v>
      </c>
      <c r="Y36" s="4"/>
    </row>
    <row r="37" spans="2:25" ht="15.75" outlineLevel="1">
      <c r="B37" s="52" t="s">
        <v>177</v>
      </c>
      <c r="U37" s="78" t="s">
        <v>272</v>
      </c>
      <c r="X37" s="4" t="s">
        <v>273</v>
      </c>
      <c r="Y37" s="4"/>
    </row>
    <row r="38" spans="2:25" ht="15.75" outlineLevel="1">
      <c r="B38" s="52" t="s">
        <v>178</v>
      </c>
      <c r="U38" s="78" t="s">
        <v>274</v>
      </c>
      <c r="X38" s="4" t="s">
        <v>275</v>
      </c>
      <c r="Y38" s="4"/>
    </row>
    <row r="39" spans="2:25" ht="15.75" outlineLevel="1">
      <c r="B39" s="52" t="s">
        <v>179</v>
      </c>
      <c r="U39" s="78" t="s">
        <v>276</v>
      </c>
      <c r="X39" s="4" t="s">
        <v>277</v>
      </c>
      <c r="Y39" s="4"/>
    </row>
    <row r="40" spans="2:25" ht="15.75" outlineLevel="1">
      <c r="B40" s="52" t="s">
        <v>180</v>
      </c>
      <c r="U40" s="78" t="s">
        <v>278</v>
      </c>
      <c r="X40" s="4" t="s">
        <v>279</v>
      </c>
      <c r="Y40" s="4"/>
    </row>
    <row r="41" spans="2:25" ht="15.75" outlineLevel="1">
      <c r="B41" s="52" t="s">
        <v>181</v>
      </c>
      <c r="U41" s="78" t="s">
        <v>280</v>
      </c>
      <c r="X41" s="4" t="s">
        <v>281</v>
      </c>
      <c r="Y41" s="4"/>
    </row>
    <row r="42" spans="2:25" ht="15.75" outlineLevel="1">
      <c r="B42" s="52" t="s">
        <v>182</v>
      </c>
      <c r="U42" s="78" t="s">
        <v>282</v>
      </c>
      <c r="X42" s="4" t="s">
        <v>283</v>
      </c>
      <c r="Y42" s="4"/>
    </row>
    <row r="43" spans="2:25" ht="15.75" outlineLevel="1">
      <c r="B43" s="52" t="s">
        <v>160</v>
      </c>
      <c r="U43" s="78" t="s">
        <v>284</v>
      </c>
      <c r="X43" s="4" t="s">
        <v>285</v>
      </c>
      <c r="Y43" s="4"/>
    </row>
    <row r="44" spans="2:25" ht="15.75" outlineLevel="1">
      <c r="B44" s="52" t="s">
        <v>7</v>
      </c>
      <c r="U44" s="78" t="s">
        <v>286</v>
      </c>
      <c r="X44" s="4" t="s">
        <v>287</v>
      </c>
      <c r="Y44" s="4"/>
    </row>
    <row r="45" spans="2:25" ht="15.75" outlineLevel="1">
      <c r="B45" s="52"/>
      <c r="U45" s="78" t="s">
        <v>288</v>
      </c>
      <c r="X45" s="4" t="s">
        <v>289</v>
      </c>
      <c r="Y45" s="4"/>
    </row>
    <row r="46" spans="2:25" ht="15.75" outlineLevel="1">
      <c r="B46" s="52" t="s">
        <v>173</v>
      </c>
      <c r="U46" s="78" t="s">
        <v>290</v>
      </c>
      <c r="X46" s="4" t="s">
        <v>291</v>
      </c>
      <c r="Y46" s="4"/>
    </row>
    <row r="47" spans="2:25" ht="15.75" outlineLevel="1">
      <c r="B47" s="52" t="s">
        <v>174</v>
      </c>
      <c r="U47" s="78" t="s">
        <v>292</v>
      </c>
      <c r="X47" s="4" t="s">
        <v>293</v>
      </c>
      <c r="Y47" s="4"/>
    </row>
    <row r="48" spans="2:25" ht="15.75" outlineLevel="1">
      <c r="B48" s="52" t="s">
        <v>175</v>
      </c>
      <c r="U48" s="78" t="s">
        <v>294</v>
      </c>
      <c r="X48" s="4" t="s">
        <v>295</v>
      </c>
      <c r="Y48" s="4"/>
    </row>
    <row r="49" spans="2:25" ht="15.75" outlineLevel="1">
      <c r="B49" s="52" t="s">
        <v>176</v>
      </c>
      <c r="U49" s="78" t="s">
        <v>296</v>
      </c>
      <c r="X49" s="4" t="s">
        <v>297</v>
      </c>
      <c r="Y49" s="4"/>
    </row>
    <row r="50" spans="2:25" ht="15.75" outlineLevel="1">
      <c r="B50" s="52" t="s">
        <v>177</v>
      </c>
      <c r="U50" s="78" t="s">
        <v>298</v>
      </c>
      <c r="X50" s="4" t="s">
        <v>299</v>
      </c>
      <c r="Y50" s="4"/>
    </row>
    <row r="51" spans="2:25" ht="15.75" outlineLevel="1">
      <c r="B51" s="52" t="s">
        <v>178</v>
      </c>
      <c r="U51" s="78" t="s">
        <v>300</v>
      </c>
      <c r="X51" s="4" t="s">
        <v>301</v>
      </c>
      <c r="Y51" s="4"/>
    </row>
    <row r="52" spans="2:25" ht="15.75" outlineLevel="1">
      <c r="B52" s="52" t="s">
        <v>179</v>
      </c>
      <c r="U52" s="78" t="s">
        <v>302</v>
      </c>
      <c r="X52" s="4" t="s">
        <v>303</v>
      </c>
      <c r="Y52" s="4"/>
    </row>
    <row r="53" spans="2:25" ht="15.75" outlineLevel="1">
      <c r="B53" s="52" t="s">
        <v>180</v>
      </c>
      <c r="U53" s="78" t="s">
        <v>304</v>
      </c>
      <c r="X53" s="4" t="s">
        <v>305</v>
      </c>
      <c r="Y53" s="4"/>
    </row>
    <row r="54" spans="2:25" ht="15.75" outlineLevel="1">
      <c r="B54" s="52" t="s">
        <v>181</v>
      </c>
      <c r="U54" s="78" t="s">
        <v>306</v>
      </c>
      <c r="X54" s="4" t="s">
        <v>307</v>
      </c>
      <c r="Y54" s="4"/>
    </row>
    <row r="55" spans="2:25" ht="15.75" outlineLevel="1">
      <c r="B55" s="52" t="s">
        <v>182</v>
      </c>
      <c r="U55" s="78" t="s">
        <v>308</v>
      </c>
      <c r="X55" s="4" t="s">
        <v>309</v>
      </c>
      <c r="Y55" s="4"/>
    </row>
    <row r="56" spans="2:25" ht="15.75" outlineLevel="1">
      <c r="B56" s="52" t="s">
        <v>162</v>
      </c>
      <c r="U56" s="78" t="s">
        <v>310</v>
      </c>
      <c r="X56" s="4" t="s">
        <v>311</v>
      </c>
      <c r="Y56" s="4"/>
    </row>
    <row r="57" spans="2:25" ht="15.75" outlineLevel="1">
      <c r="B57" s="52" t="s">
        <v>7</v>
      </c>
      <c r="U57" s="78" t="s">
        <v>312</v>
      </c>
      <c r="X57" s="4" t="s">
        <v>313</v>
      </c>
      <c r="Y57" s="4"/>
    </row>
    <row r="58" spans="2:25" ht="15.75" outlineLevel="1">
      <c r="B58" s="52"/>
      <c r="U58" s="78" t="s">
        <v>314</v>
      </c>
      <c r="X58" s="4" t="s">
        <v>315</v>
      </c>
      <c r="Y58" s="4"/>
    </row>
    <row r="59" spans="2:25" ht="15.75" outlineLevel="1">
      <c r="B59" s="52" t="s">
        <v>173</v>
      </c>
      <c r="U59" s="78" t="s">
        <v>316</v>
      </c>
      <c r="X59" s="4" t="s">
        <v>317</v>
      </c>
      <c r="Y59" s="4"/>
    </row>
    <row r="60" spans="2:25" ht="15.75" outlineLevel="1">
      <c r="B60" s="52" t="s">
        <v>174</v>
      </c>
      <c r="U60" s="78" t="s">
        <v>318</v>
      </c>
      <c r="X60" s="4" t="s">
        <v>319</v>
      </c>
      <c r="Y60" s="4"/>
    </row>
    <row r="61" spans="2:25" ht="15.75" outlineLevel="1">
      <c r="B61" s="52" t="s">
        <v>175</v>
      </c>
      <c r="U61" s="78" t="s">
        <v>320</v>
      </c>
      <c r="X61" s="4" t="s">
        <v>321</v>
      </c>
      <c r="Y61" s="4"/>
    </row>
    <row r="62" spans="2:25" ht="15.75" outlineLevel="1">
      <c r="B62" s="52" t="s">
        <v>176</v>
      </c>
      <c r="U62" s="78" t="s">
        <v>322</v>
      </c>
      <c r="X62" s="4" t="s">
        <v>323</v>
      </c>
      <c r="Y62" s="4"/>
    </row>
    <row r="63" spans="2:25" ht="15.75" outlineLevel="1">
      <c r="B63" s="52" t="s">
        <v>177</v>
      </c>
      <c r="U63" s="78" t="s">
        <v>324</v>
      </c>
      <c r="X63" s="4" t="s">
        <v>325</v>
      </c>
      <c r="Y63" s="4"/>
    </row>
    <row r="64" spans="2:25" ht="15.75" outlineLevel="1">
      <c r="B64" s="52" t="s">
        <v>178</v>
      </c>
      <c r="U64" s="78" t="s">
        <v>326</v>
      </c>
      <c r="X64" s="4" t="s">
        <v>327</v>
      </c>
      <c r="Y64" s="4"/>
    </row>
    <row r="65" spans="2:25" ht="15.75" outlineLevel="1">
      <c r="B65" s="52" t="s">
        <v>179</v>
      </c>
      <c r="U65" s="78" t="s">
        <v>328</v>
      </c>
      <c r="X65" s="4" t="s">
        <v>329</v>
      </c>
      <c r="Y65" s="4"/>
    </row>
    <row r="66" spans="2:25" ht="15.75" outlineLevel="1">
      <c r="B66" s="52" t="s">
        <v>180</v>
      </c>
      <c r="U66" s="78" t="s">
        <v>330</v>
      </c>
      <c r="X66" s="4" t="s">
        <v>331</v>
      </c>
      <c r="Y66" s="4"/>
    </row>
    <row r="67" spans="2:25" ht="15.75" outlineLevel="1">
      <c r="B67" s="52" t="s">
        <v>181</v>
      </c>
      <c r="U67" s="78" t="s">
        <v>332</v>
      </c>
      <c r="X67" s="4" t="s">
        <v>333</v>
      </c>
      <c r="Y67" s="4"/>
    </row>
    <row r="68" spans="2:25" ht="15.75" outlineLevel="1">
      <c r="B68" s="52" t="s">
        <v>182</v>
      </c>
      <c r="U68" s="78" t="s">
        <v>334</v>
      </c>
      <c r="X68" s="4" t="s">
        <v>335</v>
      </c>
      <c r="Y68" s="4"/>
    </row>
    <row r="69" spans="2:25" ht="15.75" outlineLevel="1">
      <c r="B69" s="52" t="s">
        <v>163</v>
      </c>
      <c r="U69" s="78" t="s">
        <v>336</v>
      </c>
      <c r="X69" s="4" t="s">
        <v>337</v>
      </c>
      <c r="Y69" s="4"/>
    </row>
    <row r="70" spans="2:25" ht="15.75" outlineLevel="1">
      <c r="B70" s="52" t="s">
        <v>7</v>
      </c>
      <c r="U70" s="78" t="s">
        <v>338</v>
      </c>
      <c r="X70" s="4" t="s">
        <v>339</v>
      </c>
      <c r="Y70" s="4"/>
    </row>
    <row r="71" spans="2:25" ht="15.75" outlineLevel="1">
      <c r="B71" s="52"/>
      <c r="U71" s="78" t="s">
        <v>340</v>
      </c>
      <c r="X71" s="4" t="s">
        <v>341</v>
      </c>
      <c r="Y71" s="4"/>
    </row>
    <row r="72" spans="2:25" ht="15.75" outlineLevel="1">
      <c r="B72" s="52"/>
      <c r="U72" s="78" t="s">
        <v>342</v>
      </c>
      <c r="X72" s="4" t="s">
        <v>343</v>
      </c>
      <c r="Y72" s="4"/>
    </row>
    <row r="73" spans="2:25" ht="15.75" outlineLevel="1">
      <c r="B73" s="52"/>
      <c r="U73" s="78" t="s">
        <v>344</v>
      </c>
      <c r="X73" s="4" t="s">
        <v>345</v>
      </c>
      <c r="Y73" s="4"/>
    </row>
    <row r="74" spans="2:25" ht="15.75" outlineLevel="1">
      <c r="B74" s="52"/>
      <c r="U74" s="78" t="s">
        <v>346</v>
      </c>
      <c r="X74" s="4" t="s">
        <v>347</v>
      </c>
      <c r="Y74" s="4"/>
    </row>
    <row r="75" spans="2:25" ht="15.75" outlineLevel="1">
      <c r="B75" s="52"/>
      <c r="U75" s="78" t="s">
        <v>348</v>
      </c>
      <c r="X75" s="4" t="s">
        <v>349</v>
      </c>
      <c r="Y75" s="4"/>
    </row>
    <row r="76" spans="2:25" ht="15.75" outlineLevel="1">
      <c r="B76" s="52"/>
      <c r="U76" s="78" t="s">
        <v>350</v>
      </c>
      <c r="X76" s="4" t="s">
        <v>351</v>
      </c>
      <c r="Y76" s="4"/>
    </row>
    <row r="77" spans="2:25" ht="15.75" outlineLevel="1">
      <c r="B77" s="52"/>
      <c r="U77" s="78" t="s">
        <v>352</v>
      </c>
      <c r="X77" s="4" t="s">
        <v>353</v>
      </c>
      <c r="Y77" s="4"/>
    </row>
    <row r="78" spans="2:25" ht="15.75" outlineLevel="1">
      <c r="B78" s="52"/>
      <c r="U78" s="78" t="s">
        <v>354</v>
      </c>
      <c r="X78" s="4" t="s">
        <v>355</v>
      </c>
      <c r="Y78" s="4"/>
    </row>
    <row r="79" spans="2:25" ht="15.75" outlineLevel="1">
      <c r="B79" s="52"/>
      <c r="U79" s="78" t="s">
        <v>356</v>
      </c>
      <c r="X79" s="4" t="s">
        <v>357</v>
      </c>
      <c r="Y79" s="4"/>
    </row>
    <row r="80" spans="2:25" ht="15.75" outlineLevel="1">
      <c r="B80" s="52"/>
      <c r="U80" s="78" t="s">
        <v>358</v>
      </c>
      <c r="X80" s="4" t="s">
        <v>359</v>
      </c>
      <c r="Y80" s="4"/>
    </row>
    <row r="81" spans="2:25" ht="15.75" outlineLevel="1">
      <c r="B81" s="52"/>
      <c r="U81" s="78" t="s">
        <v>360</v>
      </c>
      <c r="X81" s="4" t="s">
        <v>361</v>
      </c>
      <c r="Y81" s="4"/>
    </row>
    <row r="82" spans="2:25" ht="15.75" outlineLevel="1">
      <c r="B82" s="52"/>
      <c r="U82" s="78" t="s">
        <v>362</v>
      </c>
      <c r="X82" s="4" t="s">
        <v>363</v>
      </c>
      <c r="Y82" s="4"/>
    </row>
    <row r="83" spans="2:25" ht="15.75" outlineLevel="1">
      <c r="B83" s="52"/>
      <c r="U83" s="78" t="s">
        <v>364</v>
      </c>
      <c r="X83" s="4" t="s">
        <v>365</v>
      </c>
      <c r="Y83" s="4"/>
    </row>
    <row r="84" spans="2:25" ht="15.75" outlineLevel="1">
      <c r="B84" s="52"/>
      <c r="U84" s="78" t="s">
        <v>366</v>
      </c>
      <c r="X84" s="4" t="s">
        <v>367</v>
      </c>
      <c r="Y84" s="4"/>
    </row>
    <row r="85" spans="2:25" ht="15.75" outlineLevel="1">
      <c r="B85" s="52"/>
      <c r="U85" s="78" t="s">
        <v>368</v>
      </c>
      <c r="X85" s="4" t="s">
        <v>369</v>
      </c>
      <c r="Y85" s="4"/>
    </row>
    <row r="86" spans="2:25" ht="15.75" outlineLevel="1">
      <c r="B86" s="52"/>
      <c r="U86" s="78" t="s">
        <v>370</v>
      </c>
      <c r="X86" s="4" t="s">
        <v>371</v>
      </c>
      <c r="Y86" s="4"/>
    </row>
    <row r="87" spans="2:25" ht="15.75" outlineLevel="1">
      <c r="B87" s="52"/>
      <c r="U87" s="78" t="s">
        <v>372</v>
      </c>
      <c r="X87" s="4" t="s">
        <v>373</v>
      </c>
      <c r="Y87" s="4"/>
    </row>
    <row r="88" spans="2:25" ht="15.75" outlineLevel="1">
      <c r="B88" s="52"/>
      <c r="U88" s="78" t="s">
        <v>374</v>
      </c>
      <c r="X88" s="4" t="s">
        <v>375</v>
      </c>
      <c r="Y88" s="4"/>
    </row>
    <row r="89" spans="2:25" ht="15.75" outlineLevel="1">
      <c r="B89" s="52"/>
      <c r="U89" s="78" t="s">
        <v>376</v>
      </c>
      <c r="X89" s="4" t="s">
        <v>377</v>
      </c>
      <c r="Y89" s="4"/>
    </row>
    <row r="90" spans="2:25" ht="15.75" outlineLevel="1">
      <c r="B90" s="52"/>
      <c r="U90" s="78" t="s">
        <v>378</v>
      </c>
      <c r="X90" s="4" t="s">
        <v>379</v>
      </c>
      <c r="Y90" s="4"/>
    </row>
    <row r="91" spans="2:25" ht="15.75" outlineLevel="1">
      <c r="B91" s="52"/>
      <c r="U91" s="78" t="s">
        <v>380</v>
      </c>
      <c r="X91" s="4" t="s">
        <v>381</v>
      </c>
      <c r="Y91" s="4"/>
    </row>
    <row r="92" spans="2:25" ht="15.75" outlineLevel="1">
      <c r="B92" s="52"/>
      <c r="U92" s="78" t="s">
        <v>382</v>
      </c>
      <c r="X92" s="4" t="s">
        <v>383</v>
      </c>
      <c r="Y92" s="4"/>
    </row>
    <row r="93" spans="2:25" ht="15.75" outlineLevel="1">
      <c r="B93" s="52"/>
      <c r="U93" s="78" t="s">
        <v>384</v>
      </c>
      <c r="X93" s="4" t="s">
        <v>385</v>
      </c>
      <c r="Y93" s="4"/>
    </row>
    <row r="94" spans="2:25" ht="15.75" outlineLevel="1">
      <c r="B94" s="52"/>
      <c r="U94" s="78" t="s">
        <v>386</v>
      </c>
      <c r="X94" s="4" t="s">
        <v>387</v>
      </c>
      <c r="Y94" s="4"/>
    </row>
    <row r="95" spans="2:25" ht="15.75" outlineLevel="1">
      <c r="B95" s="52"/>
      <c r="U95" s="78" t="s">
        <v>388</v>
      </c>
      <c r="X95" s="4" t="s">
        <v>389</v>
      </c>
      <c r="Y95" s="4"/>
    </row>
    <row r="96" spans="2:25" ht="15.75" outlineLevel="1">
      <c r="B96" s="52"/>
      <c r="U96" s="78" t="s">
        <v>390</v>
      </c>
      <c r="X96" s="4" t="s">
        <v>391</v>
      </c>
      <c r="Y96" s="4"/>
    </row>
    <row r="97" spans="2:25" ht="15.75" outlineLevel="1">
      <c r="B97" s="52"/>
      <c r="U97" s="78" t="s">
        <v>392</v>
      </c>
      <c r="X97" s="4" t="s">
        <v>393</v>
      </c>
      <c r="Y97" s="4"/>
    </row>
    <row r="98" spans="2:25" ht="15.75" outlineLevel="1">
      <c r="B98" s="52"/>
      <c r="U98" s="78" t="s">
        <v>394</v>
      </c>
      <c r="X98" s="4" t="s">
        <v>395</v>
      </c>
      <c r="Y98" s="4"/>
    </row>
    <row r="99" spans="2:25" ht="15.75" outlineLevel="1">
      <c r="B99" s="52"/>
      <c r="U99" s="78" t="s">
        <v>396</v>
      </c>
      <c r="X99" s="4" t="s">
        <v>397</v>
      </c>
      <c r="Y99" s="4"/>
    </row>
    <row r="100" spans="2:25" ht="15.75" outlineLevel="1">
      <c r="B100" s="52"/>
      <c r="U100" s="78" t="s">
        <v>398</v>
      </c>
      <c r="X100" s="4" t="s">
        <v>399</v>
      </c>
      <c r="Y100" s="4"/>
    </row>
    <row r="101" spans="2:25" ht="15.75" outlineLevel="1">
      <c r="B101" s="52"/>
      <c r="U101" s="78" t="s">
        <v>400</v>
      </c>
      <c r="X101" s="4" t="s">
        <v>401</v>
      </c>
      <c r="Y101" s="4"/>
    </row>
    <row r="102" spans="2:25" ht="15.75" outlineLevel="1">
      <c r="B102" s="52"/>
      <c r="U102" s="78" t="s">
        <v>402</v>
      </c>
      <c r="X102" s="4" t="s">
        <v>403</v>
      </c>
      <c r="Y102" s="4"/>
    </row>
    <row r="103" spans="2:25" ht="15.75" outlineLevel="1">
      <c r="B103" s="52"/>
      <c r="U103" s="78" t="s">
        <v>404</v>
      </c>
      <c r="X103" s="4" t="s">
        <v>405</v>
      </c>
      <c r="Y103" s="4"/>
    </row>
    <row r="104" spans="2:25" ht="15.75" outlineLevel="1">
      <c r="B104" s="52"/>
      <c r="U104" s="78" t="s">
        <v>406</v>
      </c>
      <c r="X104" s="4" t="s">
        <v>407</v>
      </c>
      <c r="Y104" s="4"/>
    </row>
    <row r="105" spans="2:25" ht="15.75" outlineLevel="1">
      <c r="B105" s="52"/>
      <c r="U105" s="78" t="s">
        <v>408</v>
      </c>
      <c r="X105" s="4" t="s">
        <v>409</v>
      </c>
      <c r="Y105" s="4"/>
    </row>
    <row r="106" spans="2:25" ht="15.75" outlineLevel="1">
      <c r="B106" s="52"/>
      <c r="U106" s="78" t="s">
        <v>410</v>
      </c>
      <c r="X106" s="4" t="s">
        <v>411</v>
      </c>
      <c r="Y106" s="4"/>
    </row>
    <row r="107" spans="2:25" ht="15.75" outlineLevel="1">
      <c r="B107" s="52"/>
      <c r="U107" s="78" t="s">
        <v>412</v>
      </c>
      <c r="X107" s="4" t="s">
        <v>413</v>
      </c>
      <c r="Y107" s="4"/>
    </row>
    <row r="108" spans="2:25" ht="15.75" outlineLevel="1">
      <c r="B108" s="52"/>
      <c r="U108" s="78" t="s">
        <v>414</v>
      </c>
      <c r="X108" s="4" t="s">
        <v>415</v>
      </c>
      <c r="Y108" s="4"/>
    </row>
    <row r="109" spans="2:25" ht="15.75" outlineLevel="1">
      <c r="B109" s="52"/>
      <c r="U109" s="78" t="s">
        <v>416</v>
      </c>
      <c r="X109" s="4" t="s">
        <v>417</v>
      </c>
      <c r="Y109" s="4"/>
    </row>
    <row r="110" spans="2:25" ht="15.75" outlineLevel="1">
      <c r="B110" s="52"/>
      <c r="U110" s="78" t="s">
        <v>418</v>
      </c>
      <c r="X110" s="4" t="s">
        <v>419</v>
      </c>
      <c r="Y110" s="4"/>
    </row>
    <row r="111" spans="2:25" ht="15.75" outlineLevel="1">
      <c r="B111" s="52"/>
      <c r="U111" s="78" t="s">
        <v>420</v>
      </c>
      <c r="X111" s="4" t="s">
        <v>421</v>
      </c>
      <c r="Y111" s="4"/>
    </row>
    <row r="112" spans="2:25" ht="15.75" outlineLevel="1">
      <c r="B112" s="52"/>
      <c r="U112" s="78" t="s">
        <v>422</v>
      </c>
      <c r="X112" s="4" t="s">
        <v>423</v>
      </c>
      <c r="Y112" s="4"/>
    </row>
    <row r="113" spans="2:25" ht="15.75" outlineLevel="1">
      <c r="B113" s="52"/>
      <c r="U113" s="78" t="s">
        <v>424</v>
      </c>
      <c r="X113" s="4" t="s">
        <v>425</v>
      </c>
      <c r="Y113" s="4"/>
    </row>
    <row r="114" spans="2:25" ht="15.75" outlineLevel="1">
      <c r="B114" s="52"/>
      <c r="U114" s="78" t="s">
        <v>426</v>
      </c>
      <c r="X114" s="4" t="s">
        <v>427</v>
      </c>
      <c r="Y114" s="4"/>
    </row>
    <row r="115" spans="2:25" ht="15.75" outlineLevel="1">
      <c r="B115" s="52"/>
      <c r="U115" s="78" t="s">
        <v>428</v>
      </c>
      <c r="X115" s="4" t="s">
        <v>429</v>
      </c>
      <c r="Y115" s="4"/>
    </row>
    <row r="116" spans="2:25" ht="15.75" outlineLevel="1">
      <c r="B116" s="52"/>
      <c r="U116" s="78" t="s">
        <v>430</v>
      </c>
      <c r="X116" s="4" t="s">
        <v>431</v>
      </c>
      <c r="Y116" s="4"/>
    </row>
    <row r="117" spans="2:25" ht="15.75" outlineLevel="1">
      <c r="B117" s="52"/>
      <c r="U117" s="78" t="s">
        <v>432</v>
      </c>
      <c r="X117" s="4" t="s">
        <v>433</v>
      </c>
      <c r="Y117" s="4"/>
    </row>
    <row r="118" spans="2:25" ht="15.75" outlineLevel="1">
      <c r="B118" s="52"/>
      <c r="U118" s="78" t="s">
        <v>434</v>
      </c>
      <c r="X118" s="4" t="s">
        <v>435</v>
      </c>
      <c r="Y118" s="4"/>
    </row>
    <row r="119" spans="2:25" ht="15.75" outlineLevel="1">
      <c r="B119" s="52"/>
      <c r="U119" s="78" t="s">
        <v>436</v>
      </c>
      <c r="X119" s="4" t="s">
        <v>437</v>
      </c>
      <c r="Y119" s="4"/>
    </row>
    <row r="120" spans="2:25" ht="15.75" outlineLevel="1">
      <c r="B120" s="52"/>
      <c r="U120" s="78" t="s">
        <v>438</v>
      </c>
      <c r="X120" s="4" t="s">
        <v>439</v>
      </c>
      <c r="Y120" s="4"/>
    </row>
    <row r="121" spans="2:25" ht="15.75" outlineLevel="1">
      <c r="B121" s="52"/>
      <c r="U121" s="78" t="s">
        <v>440</v>
      </c>
      <c r="X121" s="4" t="s">
        <v>441</v>
      </c>
      <c r="Y121" s="4"/>
    </row>
    <row r="122" spans="2:25" ht="15.75" outlineLevel="1">
      <c r="B122" s="52"/>
      <c r="U122" s="78" t="s">
        <v>442</v>
      </c>
      <c r="X122" s="4" t="s">
        <v>443</v>
      </c>
      <c r="Y122" s="4"/>
    </row>
    <row r="123" spans="2:25" ht="15.75" outlineLevel="1">
      <c r="B123" s="52"/>
      <c r="U123" s="78" t="s">
        <v>444</v>
      </c>
      <c r="X123" s="4" t="s">
        <v>108</v>
      </c>
      <c r="Y123" s="4"/>
    </row>
    <row r="124" spans="2:25" ht="15.75" outlineLevel="1">
      <c r="B124" s="52"/>
      <c r="U124" s="78" t="s">
        <v>445</v>
      </c>
      <c r="X124" s="4" t="s">
        <v>446</v>
      </c>
      <c r="Y124" s="4"/>
    </row>
    <row r="125" spans="2:25" ht="15.75" outlineLevel="1">
      <c r="B125" s="52"/>
      <c r="U125" s="78" t="s">
        <v>447</v>
      </c>
      <c r="X125" s="4" t="s">
        <v>448</v>
      </c>
      <c r="Y125" s="4"/>
    </row>
    <row r="126" spans="2:25" ht="15.75" outlineLevel="1">
      <c r="B126" s="52"/>
      <c r="U126" s="78" t="s">
        <v>449</v>
      </c>
      <c r="X126" s="4" t="s">
        <v>450</v>
      </c>
      <c r="Y126" s="4"/>
    </row>
    <row r="127" spans="2:25" ht="15.75" outlineLevel="1">
      <c r="B127" s="52"/>
      <c r="U127" s="78" t="s">
        <v>451</v>
      </c>
      <c r="X127" s="4" t="s">
        <v>452</v>
      </c>
      <c r="Y127" s="4"/>
    </row>
    <row r="128" spans="2:25" outlineLevel="1">
      <c r="B128" s="52"/>
      <c r="X128" s="4" t="s">
        <v>453</v>
      </c>
      <c r="Y128" s="4"/>
    </row>
    <row r="129" spans="2:25" outlineLevel="1">
      <c r="B129" s="52"/>
      <c r="X129" s="4" t="s">
        <v>454</v>
      </c>
      <c r="Y129" s="4"/>
    </row>
    <row r="130" spans="2:25" outlineLevel="1">
      <c r="B130" s="52"/>
      <c r="X130" s="4" t="s">
        <v>455</v>
      </c>
      <c r="Y130" s="4"/>
    </row>
    <row r="131" spans="2:25" outlineLevel="1">
      <c r="B131" s="52"/>
      <c r="X131" s="4" t="s">
        <v>456</v>
      </c>
      <c r="Y131" s="4"/>
    </row>
    <row r="132" spans="2:25" outlineLevel="1">
      <c r="B132" s="52"/>
      <c r="X132" s="4" t="s">
        <v>457</v>
      </c>
      <c r="Y132" s="4"/>
    </row>
    <row r="133" spans="2:25" outlineLevel="1">
      <c r="B133" s="52"/>
      <c r="X133" s="4" t="s">
        <v>458</v>
      </c>
      <c r="Y133" s="4"/>
    </row>
    <row r="134" spans="2:25" outlineLevel="1">
      <c r="B134" s="52"/>
      <c r="X134" s="4" t="s">
        <v>459</v>
      </c>
      <c r="Y134" s="4"/>
    </row>
    <row r="135" spans="2:25" outlineLevel="1">
      <c r="B135" s="52"/>
      <c r="X135" s="4" t="s">
        <v>460</v>
      </c>
      <c r="Y135" s="4"/>
    </row>
    <row r="136" spans="2:25" outlineLevel="1">
      <c r="B136" s="52"/>
      <c r="X136" s="4" t="s">
        <v>461</v>
      </c>
      <c r="Y136" s="4"/>
    </row>
    <row r="137" spans="2:25" outlineLevel="1">
      <c r="B137" s="52"/>
      <c r="X137" s="4" t="s">
        <v>462</v>
      </c>
      <c r="Y137" s="4"/>
    </row>
    <row r="138" spans="2:25" outlineLevel="1">
      <c r="B138" s="52"/>
      <c r="X138" s="4" t="s">
        <v>463</v>
      </c>
      <c r="Y138" s="4"/>
    </row>
    <row r="139" spans="2:25" outlineLevel="1">
      <c r="B139" s="52"/>
      <c r="X139" s="4" t="s">
        <v>464</v>
      </c>
      <c r="Y139" s="4"/>
    </row>
    <row r="140" spans="2:25" outlineLevel="1">
      <c r="B140" s="52"/>
      <c r="X140" s="4" t="s">
        <v>465</v>
      </c>
      <c r="Y140" s="4"/>
    </row>
    <row r="141" spans="2:25" outlineLevel="1">
      <c r="B141" s="52"/>
      <c r="X141" s="4" t="s">
        <v>466</v>
      </c>
      <c r="Y141" s="4"/>
    </row>
    <row r="142" spans="2:25" outlineLevel="1">
      <c r="B142" s="52"/>
      <c r="X142" s="4" t="s">
        <v>467</v>
      </c>
      <c r="Y142" s="4"/>
    </row>
    <row r="143" spans="2:25" outlineLevel="1">
      <c r="B143" s="52"/>
      <c r="X143" s="4" t="s">
        <v>468</v>
      </c>
      <c r="Y143" s="4"/>
    </row>
    <row r="144" spans="2:25" outlineLevel="1">
      <c r="B144" s="52"/>
      <c r="X144" s="4" t="s">
        <v>469</v>
      </c>
      <c r="Y144" s="4"/>
    </row>
    <row r="145" spans="2:25" outlineLevel="1">
      <c r="B145" s="52"/>
      <c r="X145" s="4" t="s">
        <v>470</v>
      </c>
      <c r="Y145" s="4"/>
    </row>
    <row r="146" spans="2:25" outlineLevel="1">
      <c r="B146" s="52"/>
      <c r="X146" s="4" t="s">
        <v>471</v>
      </c>
      <c r="Y146" s="4"/>
    </row>
    <row r="147" spans="2:25" outlineLevel="1">
      <c r="B147" s="52"/>
      <c r="X147" s="4" t="s">
        <v>472</v>
      </c>
      <c r="Y147" s="4"/>
    </row>
    <row r="148" spans="2:25" outlineLevel="1">
      <c r="B148" s="52"/>
      <c r="X148" s="4" t="s">
        <v>473</v>
      </c>
      <c r="Y148" s="4"/>
    </row>
    <row r="149" spans="2:25" outlineLevel="1">
      <c r="B149" s="52"/>
      <c r="X149" s="4" t="s">
        <v>474</v>
      </c>
      <c r="Y149" s="4"/>
    </row>
    <row r="150" spans="2:25" outlineLevel="1">
      <c r="B150" s="52"/>
      <c r="X150" s="4" t="s">
        <v>475</v>
      </c>
      <c r="Y150" s="4"/>
    </row>
    <row r="151" spans="2:25" outlineLevel="1">
      <c r="B151" s="52"/>
      <c r="X151" s="4" t="s">
        <v>476</v>
      </c>
      <c r="Y151" s="4"/>
    </row>
    <row r="152" spans="2:25" outlineLevel="1">
      <c r="B152" s="52"/>
      <c r="X152" s="4" t="s">
        <v>477</v>
      </c>
      <c r="Y152" s="4"/>
    </row>
    <row r="153" spans="2:25" outlineLevel="1">
      <c r="B153" s="52"/>
      <c r="X153" s="4" t="s">
        <v>478</v>
      </c>
      <c r="Y153" s="4"/>
    </row>
    <row r="154" spans="2:25" outlineLevel="1">
      <c r="B154" s="52"/>
      <c r="X154" s="4" t="s">
        <v>479</v>
      </c>
      <c r="Y154" s="4"/>
    </row>
    <row r="155" spans="2:25" outlineLevel="1">
      <c r="B155" s="52"/>
      <c r="X155" s="4" t="s">
        <v>480</v>
      </c>
      <c r="Y155" s="4"/>
    </row>
    <row r="156" spans="2:25" outlineLevel="1">
      <c r="B156" s="52"/>
      <c r="X156" s="4" t="s">
        <v>481</v>
      </c>
      <c r="Y156" s="4"/>
    </row>
    <row r="157" spans="2:25" outlineLevel="1">
      <c r="B157" s="52"/>
      <c r="X157" s="4" t="s">
        <v>482</v>
      </c>
      <c r="Y157" s="4"/>
    </row>
    <row r="158" spans="2:25" outlineLevel="1">
      <c r="B158" s="52"/>
      <c r="X158" s="4" t="s">
        <v>483</v>
      </c>
      <c r="Y158" s="4"/>
    </row>
    <row r="159" spans="2:25" outlineLevel="1">
      <c r="B159" s="52"/>
      <c r="X159" s="4" t="s">
        <v>484</v>
      </c>
      <c r="Y159" s="4"/>
    </row>
    <row r="160" spans="2:25" outlineLevel="1">
      <c r="B160" s="52"/>
      <c r="X160" s="4" t="s">
        <v>485</v>
      </c>
      <c r="Y160" s="4"/>
    </row>
    <row r="161" spans="2:25" outlineLevel="1">
      <c r="B161" s="52"/>
      <c r="X161" s="4" t="s">
        <v>486</v>
      </c>
      <c r="Y161" s="4"/>
    </row>
    <row r="162" spans="2:25" outlineLevel="1">
      <c r="B162" s="52"/>
      <c r="X162" s="4" t="s">
        <v>487</v>
      </c>
      <c r="Y162" s="4"/>
    </row>
    <row r="163" spans="2:25" outlineLevel="1">
      <c r="B163" s="52"/>
      <c r="X163" s="4" t="s">
        <v>488</v>
      </c>
      <c r="Y163" s="4"/>
    </row>
    <row r="164" spans="2:25" outlineLevel="1">
      <c r="B164" s="52"/>
      <c r="X164" s="4" t="s">
        <v>489</v>
      </c>
      <c r="Y164" s="4"/>
    </row>
    <row r="165" spans="2:25" outlineLevel="1">
      <c r="B165" s="52"/>
      <c r="X165" s="4" t="s">
        <v>490</v>
      </c>
      <c r="Y165" s="4"/>
    </row>
    <row r="166" spans="2:25" outlineLevel="1">
      <c r="B166" s="52"/>
      <c r="X166" s="4" t="s">
        <v>491</v>
      </c>
      <c r="Y166" s="4"/>
    </row>
    <row r="167" spans="2:25" outlineLevel="1">
      <c r="B167" s="52"/>
      <c r="X167" s="4" t="s">
        <v>492</v>
      </c>
      <c r="Y167" s="4"/>
    </row>
    <row r="168" spans="2:25" outlineLevel="1">
      <c r="B168" s="52"/>
      <c r="X168" s="4" t="s">
        <v>493</v>
      </c>
      <c r="Y168" s="4"/>
    </row>
    <row r="169" spans="2:25" outlineLevel="1">
      <c r="B169" s="52"/>
      <c r="X169" s="4" t="s">
        <v>494</v>
      </c>
      <c r="Y169" s="4"/>
    </row>
    <row r="170" spans="2:25" outlineLevel="1">
      <c r="B170" s="52"/>
      <c r="X170" s="4" t="s">
        <v>495</v>
      </c>
      <c r="Y170" s="4"/>
    </row>
    <row r="171" spans="2:25" outlineLevel="1">
      <c r="B171" s="52"/>
      <c r="X171" s="4" t="s">
        <v>496</v>
      </c>
      <c r="Y171" s="4"/>
    </row>
    <row r="172" spans="2:25" outlineLevel="1">
      <c r="B172" s="52"/>
      <c r="X172" s="4" t="s">
        <v>497</v>
      </c>
      <c r="Y172" s="4"/>
    </row>
    <row r="173" spans="2:25" outlineLevel="1">
      <c r="B173" s="52"/>
      <c r="X173" s="4" t="s">
        <v>498</v>
      </c>
      <c r="Y173" s="4"/>
    </row>
    <row r="174" spans="2:25" outlineLevel="1">
      <c r="B174" s="52"/>
      <c r="X174" s="4" t="s">
        <v>499</v>
      </c>
      <c r="Y174" s="4"/>
    </row>
    <row r="175" spans="2:25" outlineLevel="1">
      <c r="B175" s="52"/>
      <c r="X175" s="4" t="s">
        <v>500</v>
      </c>
      <c r="Y175" s="4"/>
    </row>
    <row r="176" spans="2:25" outlineLevel="1">
      <c r="B176" s="52"/>
      <c r="X176" s="4" t="s">
        <v>501</v>
      </c>
      <c r="Y176" s="4"/>
    </row>
    <row r="177" spans="2:25" outlineLevel="1">
      <c r="B177" s="52"/>
      <c r="X177" s="4" t="s">
        <v>502</v>
      </c>
      <c r="Y177" s="4"/>
    </row>
    <row r="178" spans="2:25" outlineLevel="1">
      <c r="B178" s="52"/>
      <c r="X178" s="4" t="s">
        <v>503</v>
      </c>
      <c r="Y178" s="4"/>
    </row>
    <row r="179" spans="2:25" outlineLevel="1">
      <c r="B179" s="52"/>
      <c r="X179" s="4" t="s">
        <v>504</v>
      </c>
      <c r="Y179" s="4"/>
    </row>
    <row r="180" spans="2:25" outlineLevel="1">
      <c r="B180" s="52"/>
      <c r="X180" s="4" t="s">
        <v>505</v>
      </c>
      <c r="Y180" s="4"/>
    </row>
    <row r="181" spans="2:25" outlineLevel="1">
      <c r="B181" s="52"/>
      <c r="X181" s="4" t="s">
        <v>506</v>
      </c>
      <c r="Y181" s="4"/>
    </row>
    <row r="182" spans="2:25" outlineLevel="1">
      <c r="B182" s="52"/>
      <c r="X182" s="4" t="s">
        <v>507</v>
      </c>
      <c r="Y182" s="4"/>
    </row>
    <row r="183" spans="2:25" outlineLevel="1">
      <c r="B183" s="52"/>
      <c r="X183" s="4" t="s">
        <v>508</v>
      </c>
      <c r="Y183" s="4"/>
    </row>
    <row r="184" spans="2:25" outlineLevel="1">
      <c r="B184" s="52"/>
      <c r="X184" s="4" t="s">
        <v>509</v>
      </c>
      <c r="Y184" s="4"/>
    </row>
    <row r="185" spans="2:25" outlineLevel="1">
      <c r="B185" s="52"/>
      <c r="X185" s="4" t="s">
        <v>510</v>
      </c>
      <c r="Y185" s="4"/>
    </row>
    <row r="186" spans="2:25" outlineLevel="1">
      <c r="B186" s="52"/>
      <c r="X186" s="4" t="s">
        <v>511</v>
      </c>
      <c r="Y186" s="4"/>
    </row>
    <row r="187" spans="2:25" outlineLevel="1">
      <c r="B187" s="52"/>
      <c r="X187" s="4" t="s">
        <v>512</v>
      </c>
      <c r="Y187" s="4"/>
    </row>
    <row r="188" spans="2:25" outlineLevel="1">
      <c r="B188" s="52"/>
      <c r="X188" s="4" t="s">
        <v>513</v>
      </c>
      <c r="Y188" s="4"/>
    </row>
    <row r="189" spans="2:25" outlineLevel="1">
      <c r="B189" s="52"/>
      <c r="X189" s="4" t="s">
        <v>514</v>
      </c>
      <c r="Y189" s="4"/>
    </row>
    <row r="190" spans="2:25" outlineLevel="1">
      <c r="B190" s="52"/>
      <c r="X190" s="4" t="s">
        <v>515</v>
      </c>
      <c r="Y190" s="4"/>
    </row>
    <row r="191" spans="2:25" outlineLevel="1">
      <c r="B191" s="52"/>
      <c r="X191" s="4" t="s">
        <v>516</v>
      </c>
      <c r="Y191" s="4"/>
    </row>
    <row r="192" spans="2:25" outlineLevel="1">
      <c r="B192" s="52"/>
      <c r="X192" s="4" t="s">
        <v>517</v>
      </c>
      <c r="Y192" s="4"/>
    </row>
    <row r="193" spans="2:25" outlineLevel="1">
      <c r="B193" s="52"/>
      <c r="X193" s="4" t="s">
        <v>518</v>
      </c>
      <c r="Y193" s="4"/>
    </row>
    <row r="194" spans="2:25" outlineLevel="1">
      <c r="B194" s="52"/>
      <c r="X194" s="4" t="s">
        <v>519</v>
      </c>
      <c r="Y194" s="4"/>
    </row>
    <row r="195" spans="2:25" outlineLevel="1">
      <c r="B195" s="52"/>
      <c r="X195" s="4" t="s">
        <v>520</v>
      </c>
      <c r="Y195" s="4"/>
    </row>
    <row r="196" spans="2:25" outlineLevel="1">
      <c r="B196" s="52"/>
      <c r="X196" s="4" t="s">
        <v>521</v>
      </c>
      <c r="Y196" s="4"/>
    </row>
    <row r="197" spans="2:25" outlineLevel="1">
      <c r="B197" s="52"/>
      <c r="X197" s="4" t="s">
        <v>522</v>
      </c>
      <c r="Y197" s="4"/>
    </row>
    <row r="198" spans="2:25" outlineLevel="1">
      <c r="B198" s="52"/>
      <c r="X198" s="4" t="s">
        <v>523</v>
      </c>
      <c r="Y198" s="4"/>
    </row>
    <row r="199" spans="2:25" outlineLevel="1">
      <c r="B199" s="52"/>
      <c r="X199" s="4" t="s">
        <v>524</v>
      </c>
      <c r="Y199" s="4"/>
    </row>
    <row r="200" spans="2:25" outlineLevel="1">
      <c r="B200" s="52"/>
      <c r="X200" s="4" t="s">
        <v>525</v>
      </c>
      <c r="Y200" s="4"/>
    </row>
    <row r="201" spans="2:25" outlineLevel="1">
      <c r="B201" s="52"/>
      <c r="X201" s="4" t="s">
        <v>526</v>
      </c>
      <c r="Y201" s="4"/>
    </row>
    <row r="202" spans="2:25" outlineLevel="1">
      <c r="B202" s="52"/>
      <c r="X202" s="4" t="s">
        <v>527</v>
      </c>
      <c r="Y202" s="4"/>
    </row>
    <row r="203" spans="2:25" outlineLevel="1">
      <c r="B203" s="52"/>
      <c r="X203" s="4" t="s">
        <v>528</v>
      </c>
      <c r="Y203" s="4"/>
    </row>
    <row r="204" spans="2:25" outlineLevel="1">
      <c r="B204" s="52"/>
      <c r="X204" s="4" t="s">
        <v>529</v>
      </c>
      <c r="Y204" s="4"/>
    </row>
    <row r="205" spans="2:25" outlineLevel="1">
      <c r="B205" s="52"/>
      <c r="X205" s="4" t="s">
        <v>530</v>
      </c>
      <c r="Y205" s="4"/>
    </row>
    <row r="206" spans="2:25" outlineLevel="1">
      <c r="B206" s="52"/>
      <c r="X206" s="4" t="s">
        <v>531</v>
      </c>
      <c r="Y206" s="4"/>
    </row>
    <row r="207" spans="2:25" outlineLevel="1">
      <c r="B207" s="52"/>
      <c r="X207" s="4" t="s">
        <v>532</v>
      </c>
      <c r="Y207" s="4"/>
    </row>
    <row r="208" spans="2:25" outlineLevel="1">
      <c r="B208" s="52"/>
      <c r="X208" s="4" t="s">
        <v>533</v>
      </c>
      <c r="Y208" s="4"/>
    </row>
    <row r="209" spans="2:25" outlineLevel="1">
      <c r="B209" s="52"/>
      <c r="X209" s="4" t="s">
        <v>534</v>
      </c>
      <c r="Y209" s="4"/>
    </row>
    <row r="210" spans="2:25" outlineLevel="1">
      <c r="B210" s="52"/>
      <c r="X210" s="4" t="s">
        <v>535</v>
      </c>
      <c r="Y210" s="4"/>
    </row>
    <row r="211" spans="2:25" outlineLevel="1">
      <c r="B211" s="52"/>
      <c r="X211" s="4" t="s">
        <v>536</v>
      </c>
      <c r="Y211" s="4"/>
    </row>
    <row r="212" spans="2:25" outlineLevel="1">
      <c r="B212" s="52"/>
      <c r="X212" s="4" t="s">
        <v>537</v>
      </c>
      <c r="Y212" s="4"/>
    </row>
    <row r="213" spans="2:25" outlineLevel="1">
      <c r="B213" s="52"/>
      <c r="X213" s="4" t="s">
        <v>538</v>
      </c>
      <c r="Y213" s="4"/>
    </row>
    <row r="214" spans="2:25" outlineLevel="1">
      <c r="B214" s="52"/>
      <c r="X214" s="4" t="s">
        <v>539</v>
      </c>
      <c r="Y214" s="4"/>
    </row>
    <row r="215" spans="2:25" outlineLevel="1">
      <c r="B215" s="52"/>
      <c r="X215" s="4" t="s">
        <v>540</v>
      </c>
      <c r="Y215" s="4"/>
    </row>
    <row r="216" spans="2:25" outlineLevel="1">
      <c r="B216" s="52"/>
      <c r="X216" s="4" t="s">
        <v>541</v>
      </c>
      <c r="Y216" s="4"/>
    </row>
    <row r="217" spans="2:25" outlineLevel="1">
      <c r="B217" s="52"/>
      <c r="X217" s="4" t="s">
        <v>542</v>
      </c>
      <c r="Y217" s="4"/>
    </row>
    <row r="218" spans="2:25" outlineLevel="1">
      <c r="B218" s="52"/>
      <c r="X218" s="4" t="s">
        <v>543</v>
      </c>
      <c r="Y218" s="4"/>
    </row>
    <row r="219" spans="2:25" outlineLevel="1">
      <c r="B219" s="52"/>
      <c r="X219" s="4" t="s">
        <v>544</v>
      </c>
      <c r="Y219" s="4"/>
    </row>
    <row r="220" spans="2:25" outlineLevel="1">
      <c r="B220" s="52"/>
      <c r="X220" s="4" t="s">
        <v>545</v>
      </c>
      <c r="Y220" s="4"/>
    </row>
    <row r="221" spans="2:25" outlineLevel="1">
      <c r="B221" s="52"/>
      <c r="X221" s="4" t="s">
        <v>546</v>
      </c>
      <c r="Y221" s="4"/>
    </row>
    <row r="222" spans="2:25" outlineLevel="1">
      <c r="B222" s="52"/>
      <c r="X222" s="4" t="s">
        <v>547</v>
      </c>
      <c r="Y222" s="4"/>
    </row>
    <row r="223" spans="2:25" outlineLevel="1">
      <c r="B223" s="52"/>
      <c r="X223" s="4" t="s">
        <v>548</v>
      </c>
      <c r="Y223" s="4"/>
    </row>
    <row r="224" spans="2:25" outlineLevel="1">
      <c r="B224" s="52"/>
      <c r="X224" s="4" t="s">
        <v>549</v>
      </c>
      <c r="Y224" s="4"/>
    </row>
    <row r="225" spans="2:25" outlineLevel="1">
      <c r="B225" s="52"/>
      <c r="X225" s="4" t="s">
        <v>550</v>
      </c>
      <c r="Y225" s="4"/>
    </row>
    <row r="226" spans="2:25" outlineLevel="1">
      <c r="B226" s="52"/>
      <c r="X226" s="4" t="s">
        <v>551</v>
      </c>
      <c r="Y226" s="4"/>
    </row>
    <row r="227" spans="2:25" outlineLevel="1">
      <c r="B227" s="52"/>
      <c r="X227" s="4" t="s">
        <v>552</v>
      </c>
      <c r="Y227" s="4"/>
    </row>
    <row r="228" spans="2:25" outlineLevel="1">
      <c r="B228" s="52"/>
      <c r="X228" s="4" t="s">
        <v>553</v>
      </c>
      <c r="Y228" s="4"/>
    </row>
    <row r="229" spans="2:25" outlineLevel="1">
      <c r="B229" s="52"/>
      <c r="X229" s="4" t="s">
        <v>554</v>
      </c>
      <c r="Y229" s="4"/>
    </row>
    <row r="230" spans="2:25" outlineLevel="1">
      <c r="B230" s="52"/>
      <c r="X230" s="4" t="s">
        <v>555</v>
      </c>
      <c r="Y230" s="4"/>
    </row>
    <row r="231" spans="2:25" outlineLevel="1">
      <c r="B231" s="52"/>
      <c r="X231" s="4" t="s">
        <v>556</v>
      </c>
      <c r="Y231" s="4"/>
    </row>
    <row r="232" spans="2:25" outlineLevel="1">
      <c r="B232" s="52"/>
      <c r="X232" s="4" t="s">
        <v>557</v>
      </c>
      <c r="Y232" s="4"/>
    </row>
    <row r="233" spans="2:25" outlineLevel="1">
      <c r="B233" s="52"/>
      <c r="X233" s="4" t="s">
        <v>558</v>
      </c>
      <c r="Y233" s="4"/>
    </row>
    <row r="234" spans="2:25" outlineLevel="1">
      <c r="B234" s="52"/>
      <c r="X234" s="4" t="s">
        <v>559</v>
      </c>
      <c r="Y234" s="4"/>
    </row>
    <row r="235" spans="2:25" outlineLevel="1">
      <c r="B235" s="52"/>
      <c r="X235" s="4" t="s">
        <v>560</v>
      </c>
      <c r="Y235" s="4"/>
    </row>
    <row r="236" spans="2:25" outlineLevel="1">
      <c r="B236" s="52"/>
      <c r="X236" s="4" t="s">
        <v>561</v>
      </c>
      <c r="Y236" s="4"/>
    </row>
    <row r="237" spans="2:25" outlineLevel="1">
      <c r="B237" s="52"/>
      <c r="X237" s="4" t="s">
        <v>562</v>
      </c>
      <c r="Y237" s="4"/>
    </row>
    <row r="238" spans="2:25" outlineLevel="1">
      <c r="B238" s="52"/>
      <c r="X238" s="4" t="s">
        <v>563</v>
      </c>
      <c r="Y238" s="4"/>
    </row>
    <row r="239" spans="2:25" outlineLevel="1">
      <c r="B239" s="52"/>
      <c r="X239" s="4" t="s">
        <v>564</v>
      </c>
      <c r="Y239" s="4"/>
    </row>
    <row r="240" spans="2:25" outlineLevel="1">
      <c r="B240" s="52"/>
      <c r="X240" s="4" t="s">
        <v>565</v>
      </c>
      <c r="Y240" s="4"/>
    </row>
    <row r="241" spans="2:25" outlineLevel="1">
      <c r="B241" s="52"/>
      <c r="X241" s="4" t="s">
        <v>566</v>
      </c>
      <c r="Y241" s="4"/>
    </row>
    <row r="242" spans="2:25" outlineLevel="1">
      <c r="B242" s="52"/>
      <c r="X242" s="4" t="s">
        <v>567</v>
      </c>
      <c r="Y242" s="4"/>
    </row>
    <row r="243" spans="2:25" outlineLevel="1">
      <c r="B243" s="52"/>
      <c r="X243" s="4" t="s">
        <v>568</v>
      </c>
      <c r="Y243" s="4"/>
    </row>
    <row r="244" spans="2:25" outlineLevel="1">
      <c r="B244" s="52"/>
      <c r="X244" s="4" t="s">
        <v>569</v>
      </c>
      <c r="Y244" s="4"/>
    </row>
    <row r="245" spans="2:25" outlineLevel="1">
      <c r="B245" s="52"/>
      <c r="X245" s="4" t="s">
        <v>570</v>
      </c>
      <c r="Y245" s="4"/>
    </row>
    <row r="246" spans="2:25" outlineLevel="1">
      <c r="B246" s="52"/>
      <c r="X246" s="4" t="s">
        <v>571</v>
      </c>
      <c r="Y246" s="4"/>
    </row>
    <row r="247" spans="2:25" outlineLevel="1">
      <c r="B247" s="52"/>
      <c r="X247" s="4" t="s">
        <v>572</v>
      </c>
      <c r="Y247" s="4"/>
    </row>
    <row r="248" spans="2:25" outlineLevel="1">
      <c r="B248" s="52"/>
      <c r="X248" s="4" t="s">
        <v>573</v>
      </c>
      <c r="Y248" s="4"/>
    </row>
    <row r="249" spans="2:25" outlineLevel="1">
      <c r="B249" s="52"/>
      <c r="X249" s="4" t="s">
        <v>574</v>
      </c>
      <c r="Y249" s="4"/>
    </row>
    <row r="250" spans="2:25" outlineLevel="1">
      <c r="B250" s="52"/>
      <c r="X250" s="4" t="s">
        <v>575</v>
      </c>
      <c r="Y250" s="4"/>
    </row>
    <row r="251" spans="2:25" outlineLevel="1">
      <c r="B251" s="52"/>
      <c r="X251" s="4" t="s">
        <v>576</v>
      </c>
      <c r="Y251" s="4"/>
    </row>
    <row r="252" spans="2:25" outlineLevel="1">
      <c r="B252" s="52"/>
      <c r="X252" s="4" t="s">
        <v>577</v>
      </c>
      <c r="Y252" s="4"/>
    </row>
    <row r="253" spans="2:25" outlineLevel="1">
      <c r="B253" s="52"/>
      <c r="X253" s="4" t="s">
        <v>578</v>
      </c>
      <c r="Y253" s="4"/>
    </row>
    <row r="254" spans="2:25" outlineLevel="1">
      <c r="B254" s="52"/>
      <c r="X254" s="4" t="s">
        <v>579</v>
      </c>
      <c r="Y254" s="4"/>
    </row>
    <row r="255" spans="2:25" outlineLevel="1">
      <c r="B255" s="52"/>
      <c r="X255" s="4" t="s">
        <v>580</v>
      </c>
      <c r="Y255" s="4"/>
    </row>
    <row r="256" spans="2:25" outlineLevel="1">
      <c r="B256" s="52"/>
      <c r="X256" s="4" t="s">
        <v>581</v>
      </c>
      <c r="Y256" s="4"/>
    </row>
    <row r="257" spans="2:25" outlineLevel="1">
      <c r="B257" s="52"/>
      <c r="X257" s="4" t="s">
        <v>582</v>
      </c>
      <c r="Y257" s="4"/>
    </row>
    <row r="258" spans="2:25" outlineLevel="1">
      <c r="B258" s="52"/>
      <c r="X258" s="4" t="s">
        <v>583</v>
      </c>
      <c r="Y258" s="4"/>
    </row>
    <row r="259" spans="2:25" outlineLevel="1">
      <c r="B259" s="52"/>
      <c r="X259" s="4" t="s">
        <v>584</v>
      </c>
      <c r="Y259" s="4"/>
    </row>
    <row r="260" spans="2:25" outlineLevel="1">
      <c r="B260" s="52"/>
      <c r="X260" s="4" t="s">
        <v>585</v>
      </c>
      <c r="Y260" s="4"/>
    </row>
    <row r="261" spans="2:25" outlineLevel="1">
      <c r="B261" s="52"/>
      <c r="X261" s="4" t="s">
        <v>586</v>
      </c>
      <c r="Y261" s="4"/>
    </row>
    <row r="262" spans="2:25" outlineLevel="1">
      <c r="B262" s="52"/>
      <c r="X262" s="4" t="s">
        <v>587</v>
      </c>
      <c r="Y262" s="4"/>
    </row>
    <row r="263" spans="2:25" outlineLevel="1">
      <c r="B263" s="52"/>
      <c r="X263" s="4" t="s">
        <v>588</v>
      </c>
      <c r="Y263" s="4"/>
    </row>
    <row r="264" spans="2:25" outlineLevel="1">
      <c r="B264" s="52"/>
      <c r="X264" s="4" t="s">
        <v>589</v>
      </c>
      <c r="Y264" s="4"/>
    </row>
    <row r="265" spans="2:25" outlineLevel="1">
      <c r="B265" s="52"/>
      <c r="X265" s="4" t="s">
        <v>590</v>
      </c>
      <c r="Y265" s="4"/>
    </row>
    <row r="266" spans="2:25" outlineLevel="1">
      <c r="B266" s="52"/>
      <c r="X266" s="4" t="s">
        <v>591</v>
      </c>
      <c r="Y266" s="4"/>
    </row>
    <row r="267" spans="2:25" outlineLevel="1">
      <c r="B267" s="52"/>
      <c r="X267" s="4" t="s">
        <v>592</v>
      </c>
      <c r="Y267" s="4"/>
    </row>
    <row r="268" spans="2:25" outlineLevel="1">
      <c r="B268" s="53"/>
      <c r="C268" s="54"/>
      <c r="D268" s="54"/>
      <c r="E268" s="54"/>
      <c r="F268" s="54"/>
      <c r="G268" s="54"/>
      <c r="H268" s="54"/>
      <c r="I268" s="54"/>
      <c r="J268" s="54"/>
      <c r="K268" s="54"/>
      <c r="L268" s="54"/>
      <c r="M268" s="54"/>
      <c r="N268" s="54"/>
      <c r="O268" s="54"/>
      <c r="P268" s="54"/>
      <c r="Q268" s="54"/>
      <c r="R268" s="54"/>
      <c r="S268" s="54"/>
      <c r="T268" s="54"/>
      <c r="U268" s="54"/>
      <c r="V268" s="54"/>
      <c r="W268" s="54"/>
      <c r="X268" s="80" t="s">
        <v>593</v>
      </c>
      <c r="Y268" s="80"/>
    </row>
    <row r="269" spans="2:25" outlineLevel="1"/>
    <row r="270" spans="2:25" outlineLevel="1"/>
    <row r="271" spans="2:25" outlineLevel="1"/>
  </sheetData>
  <mergeCells count="3">
    <mergeCell ref="C4:D4"/>
    <mergeCell ref="E4:F4"/>
    <mergeCell ref="B19:Y19"/>
  </mergeCells>
  <pageMargins left="0.7" right="0.7" top="0.75" bottom="0.75" header="0.3" footer="0.3"/>
  <pageSetup paperSize="9" orientation="portrait"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6770-0200-4790-8FD2-2B4C9FEC3D61}">
  <sheetPr>
    <tabColor theme="2"/>
  </sheetPr>
  <dimension ref="B1:AA262"/>
  <sheetViews>
    <sheetView showGridLines="0" zoomScale="80" zoomScaleNormal="80" workbookViewId="0">
      <selection activeCell="E11" sqref="E11"/>
    </sheetView>
  </sheetViews>
  <sheetFormatPr defaultColWidth="8.85546875" defaultRowHeight="15"/>
  <cols>
    <col min="1" max="1" width="8.85546875" style="31"/>
    <col min="2" max="2" width="49" style="31" customWidth="1"/>
    <col min="3" max="17" width="19.85546875" style="31" customWidth="1"/>
    <col min="18" max="18" width="17.7109375" style="31" bestFit="1" customWidth="1"/>
    <col min="19" max="20" width="18" style="31" bestFit="1" customWidth="1"/>
    <col min="21" max="21" width="11.85546875" style="31" bestFit="1" customWidth="1"/>
    <col min="22" max="23" width="13.85546875" style="31" bestFit="1" customWidth="1"/>
    <col min="24" max="27" width="18.5703125" style="31" customWidth="1"/>
    <col min="28" max="16384" width="8.85546875" style="31"/>
  </cols>
  <sheetData>
    <row r="1" spans="2:27" s="33" customFormat="1">
      <c r="B1" s="33" t="s">
        <v>594</v>
      </c>
    </row>
    <row r="3" spans="2:27">
      <c r="B3" s="59" t="s">
        <v>595</v>
      </c>
      <c r="C3" s="60"/>
      <c r="D3" s="60"/>
      <c r="E3" s="60"/>
      <c r="F3" s="60"/>
      <c r="G3" s="60"/>
      <c r="H3" s="60"/>
      <c r="J3" s="60"/>
      <c r="N3" s="37" t="s">
        <v>596</v>
      </c>
    </row>
    <row r="4" spans="2:27">
      <c r="B4" s="31" t="s">
        <v>597</v>
      </c>
      <c r="C4" s="31" t="s">
        <v>598</v>
      </c>
      <c r="D4" s="31" t="s">
        <v>599</v>
      </c>
      <c r="E4" s="31" t="s">
        <v>600</v>
      </c>
      <c r="F4" s="31" t="s">
        <v>601</v>
      </c>
      <c r="G4" s="31" t="s">
        <v>88</v>
      </c>
      <c r="H4" s="381" t="s">
        <v>602</v>
      </c>
      <c r="I4" s="381" t="s">
        <v>603</v>
      </c>
      <c r="J4" s="381" t="s">
        <v>167</v>
      </c>
      <c r="K4" s="381" t="s">
        <v>604</v>
      </c>
      <c r="L4" s="381" t="s">
        <v>605</v>
      </c>
      <c r="N4" s="31" t="s">
        <v>601</v>
      </c>
      <c r="O4" s="31" t="s">
        <v>606</v>
      </c>
      <c r="P4" s="31" t="s">
        <v>607</v>
      </c>
      <c r="Q4" s="31" t="s">
        <v>608</v>
      </c>
      <c r="R4" s="31" t="s">
        <v>609</v>
      </c>
      <c r="S4" s="31" t="s">
        <v>610</v>
      </c>
      <c r="T4" s="31" t="s">
        <v>611</v>
      </c>
      <c r="U4" s="31" t="s">
        <v>612</v>
      </c>
      <c r="V4" s="381" t="s">
        <v>613</v>
      </c>
      <c r="W4" s="381" t="s">
        <v>614</v>
      </c>
      <c r="X4" s="381" t="s">
        <v>615</v>
      </c>
      <c r="Y4" s="381" t="s">
        <v>616</v>
      </c>
      <c r="Z4" s="381" t="s">
        <v>617</v>
      </c>
      <c r="AA4" s="381" t="s">
        <v>618</v>
      </c>
    </row>
    <row r="5" spans="2:27">
      <c r="B5" s="31" t="s">
        <v>123</v>
      </c>
      <c r="C5" s="31" t="s">
        <v>123</v>
      </c>
      <c r="D5" s="31" t="s">
        <v>123</v>
      </c>
      <c r="E5" s="31" t="s">
        <v>123</v>
      </c>
      <c r="F5" s="31" t="s">
        <v>123</v>
      </c>
      <c r="G5" s="31" t="s">
        <v>136</v>
      </c>
      <c r="H5" s="381" t="s">
        <v>619</v>
      </c>
      <c r="I5" s="381" t="s">
        <v>619</v>
      </c>
      <c r="J5" s="381" t="s">
        <v>619</v>
      </c>
      <c r="K5" s="381" t="s">
        <v>619</v>
      </c>
      <c r="L5" s="381" t="s">
        <v>619</v>
      </c>
      <c r="N5" s="31" t="s">
        <v>123</v>
      </c>
      <c r="O5" s="31" t="s">
        <v>123</v>
      </c>
      <c r="P5" s="31" t="s">
        <v>620</v>
      </c>
      <c r="Q5" s="31" t="s">
        <v>136</v>
      </c>
      <c r="R5" s="31" t="s">
        <v>619</v>
      </c>
      <c r="S5" s="31" t="s">
        <v>619</v>
      </c>
      <c r="T5" s="31" t="s">
        <v>136</v>
      </c>
      <c r="U5" s="31" t="s">
        <v>619</v>
      </c>
      <c r="V5" s="381" t="s">
        <v>619</v>
      </c>
      <c r="W5" s="381" t="s">
        <v>619</v>
      </c>
      <c r="X5" s="381" t="s">
        <v>136</v>
      </c>
      <c r="Y5" s="381" t="s">
        <v>619</v>
      </c>
      <c r="Z5" s="381" t="s">
        <v>619</v>
      </c>
      <c r="AA5" s="381" t="s">
        <v>619</v>
      </c>
    </row>
    <row r="6" spans="2:27">
      <c r="B6" s="31" t="s">
        <v>621</v>
      </c>
      <c r="C6" s="31">
        <f>'DQ Template'!S6</f>
        <v>0</v>
      </c>
      <c r="D6" s="31" t="b">
        <f>C6&lt;&gt;References!$E$32</f>
        <v>1</v>
      </c>
      <c r="E6" s="31" t="b">
        <f>COUNTIF(References!$B$7:$B$16,C6)&gt;0</f>
        <v>0</v>
      </c>
      <c r="F6" s="55" t="str">
        <f>+IF('DQ Template'!C32="Yes","TRUE","FALSE")</f>
        <v>FALSE</v>
      </c>
      <c r="G6" s="61" t="str">
        <f>IF(D6,IF(E6,_xlfn.XLOOKUP(C6,References!$B$7:$B$16,References!$E$7:$E$16),IF(F6,X6,'DQ Template'!J32)),DEFAULT)</f>
        <v/>
      </c>
      <c r="H6" s="382" t="str">
        <f>IF(D6,IF(E6,_xlfn.XLOOKUP(C6,References!$B$7:$B$16,References!$F$7:$F$16),IF(F6,Y6,'DQ Template'!G32)),DEFAULT)</f>
        <v/>
      </c>
      <c r="I6" s="381" t="str">
        <f>IF(D6,IF(E6,_xlfn.XLOOKUP(C6,References!$B$7:$B$16,References!$F$7:$F$16),IF(F6,Z6,'DQ Template'!H32)),DEFAULT)</f>
        <v/>
      </c>
      <c r="J6" s="382" t="str">
        <f>IF(D6,IF(E6,_xlfn.XLOOKUP(C6,References!$B$7:$B$16,References!$D$7:$D$16),IF(F6,AA6,'DQ Template'!I32)),DEFAULT)</f>
        <v/>
      </c>
      <c r="K6" s="382" t="e">
        <f>IF(D6,H6+J6,DEFAULT)</f>
        <v>#VALUE!</v>
      </c>
      <c r="L6" s="381" t="e">
        <f>IF(D6,I6+J6,DEFAULT)</f>
        <v>#VALUE!</v>
      </c>
      <c r="N6" s="55" t="str">
        <f>+IF('DQ Template'!C32="Yes","TRUE","FALSE")</f>
        <v>FALSE</v>
      </c>
      <c r="O6" s="31" t="b">
        <f>IF(N6,'DQ Template'!D32)</f>
        <v>0</v>
      </c>
      <c r="P6" s="31" t="b">
        <f>IF(N6,'DQ Template'!F32)</f>
        <v>0</v>
      </c>
      <c r="Q6" s="31">
        <f>IF(N6,_xlfn.XLOOKUP(O6,References!$B$7:$B$16,References!$E$7:$E$16),DEFAULT)</f>
        <v>0</v>
      </c>
      <c r="R6" s="31">
        <f>IF(N6,_xlfn.XLOOKUP(O6,References!$B$7:$B$16,References!$F$7:$F$16),DEFAULT)</f>
        <v>0</v>
      </c>
      <c r="S6" s="31">
        <f>IF(N6,_xlfn.XLOOKUP(O6,References!$B$7:$B$16,References!$D$7:$D$16),DEFAULT)</f>
        <v>0</v>
      </c>
      <c r="T6" s="31" t="str">
        <f>'DQ Template'!J32</f>
        <v/>
      </c>
      <c r="U6" s="31" t="str">
        <f>'DQ Template'!G32</f>
        <v/>
      </c>
      <c r="V6" s="364" t="str">
        <f>'DQ Template'!H32</f>
        <v/>
      </c>
      <c r="W6" s="31" t="str">
        <f>'DQ Template'!I32</f>
        <v/>
      </c>
      <c r="X6" s="31" t="e">
        <f>(1-$P6)*Q6+$P6*T6</f>
        <v>#VALUE!</v>
      </c>
      <c r="Y6" s="31">
        <f>IF(N6,((1-P6)*Q6*R6+P6*T6*U6)/X6,0)</f>
        <v>0</v>
      </c>
      <c r="Z6" s="381">
        <f>IF(N6,((1-P6)*Q6*R6+P6*T6*V6)/X6,0)</f>
        <v>0</v>
      </c>
      <c r="AA6" s="31">
        <f>IF(N6,((1-P6)*Q6*S6+P6*T6*W6)/X6,0)</f>
        <v>0</v>
      </c>
    </row>
    <row r="7" spans="2:27">
      <c r="B7" s="31" t="s">
        <v>622</v>
      </c>
      <c r="C7" s="31">
        <f>'DQ Template'!T6</f>
        <v>0</v>
      </c>
      <c r="D7" s="31" t="b">
        <f>C7&lt;&gt;References!$E$32</f>
        <v>1</v>
      </c>
      <c r="E7" s="31" t="b">
        <f>COUNTIF(References!$B$7:$B$16,C7)&gt;0</f>
        <v>0</v>
      </c>
      <c r="F7" s="55" t="str">
        <f>+IF('DQ Template'!C33="Yes","TRUE","FALSE")</f>
        <v>FALSE</v>
      </c>
      <c r="G7" s="61" t="str">
        <f>IF(D7,IF(E7,_xlfn.XLOOKUP(C7,References!$B$7:$B$16,References!$E$7:$E$16),IF(F7,X7,'DQ Template'!J33)),DEFAULT)</f>
        <v/>
      </c>
      <c r="H7" s="382" t="str">
        <f>IF(D7,IF(E7,_xlfn.XLOOKUP(C7,References!$B$7:$B$16,References!$F$7:$F$16),IF(F7,Y7,'DQ Template'!G33)),DEFAULT)</f>
        <v/>
      </c>
      <c r="I7" s="381" t="str">
        <f>IF(D7,IF(E7,_xlfn.XLOOKUP(C7,References!$B$7:$B$16,References!$F$7:$F$16),IF(F7,Z7,'DQ Template'!H33)),DEFAULT)</f>
        <v/>
      </c>
      <c r="J7" s="382" t="str">
        <f>IF(D7,IF(E7,_xlfn.XLOOKUP(C7,References!$B$7:$B$16,References!$D$7:$D$16),IF(F7,AA7,'DQ Template'!I33)),DEFAULT)</f>
        <v/>
      </c>
      <c r="K7" s="382" t="e">
        <f>IF(D7,H7+J7,DEFAULT)</f>
        <v>#VALUE!</v>
      </c>
      <c r="L7" s="381" t="e">
        <f>IF(D7,I7+J7,DEFAULT)</f>
        <v>#VALUE!</v>
      </c>
      <c r="N7" s="55" t="str">
        <f>+IF('DQ Template'!C33="Yes","TRUE","FALSE")</f>
        <v>FALSE</v>
      </c>
      <c r="O7" s="31" t="b">
        <f>IF(N7,'DQ Template'!D33)</f>
        <v>0</v>
      </c>
      <c r="P7" s="31" t="b">
        <f>IF(N7,'DQ Template'!F33)</f>
        <v>0</v>
      </c>
      <c r="Q7" s="31">
        <f>IF(N7,_xlfn.XLOOKUP(O7,References!$B$7:$B$16,References!$E$7:$E$16),DEFAULT)</f>
        <v>0</v>
      </c>
      <c r="R7" s="31">
        <f>IF(N7,_xlfn.XLOOKUP(O7,References!$B$7:$B$16,References!$F$7:$F$16),DEFAULT)</f>
        <v>0</v>
      </c>
      <c r="S7" s="31">
        <f>IF(N7,_xlfn.XLOOKUP(O7,References!$B$7:$B$16,References!$D$7:$D$16),DEFAULT)</f>
        <v>0</v>
      </c>
      <c r="T7" s="31" t="str">
        <f>'DQ Template'!J33</f>
        <v/>
      </c>
      <c r="U7" s="31" t="str">
        <f>'DQ Template'!G33</f>
        <v/>
      </c>
      <c r="V7" s="364" t="str">
        <f>'DQ Template'!H33</f>
        <v/>
      </c>
      <c r="W7" s="31" t="str">
        <f>'DQ Template'!I33</f>
        <v/>
      </c>
      <c r="X7" s="31" t="e">
        <f>(1-$P7)*Q7+$P7*T7</f>
        <v>#VALUE!</v>
      </c>
      <c r="Y7" s="31">
        <f>IF(N7,((1-P7)*Q7*R7+P7*T7*U7)/X7,0)</f>
        <v>0</v>
      </c>
      <c r="Z7" s="381">
        <f t="shared" ref="Z7:Z9" si="0">IF(N7,((1-P7)*Q7*R7+P7*T7*V7)/X7,0)</f>
        <v>0</v>
      </c>
      <c r="AA7" s="31">
        <f>IF(N7,((1-P7)*Q7*S7+P7*T7*W7)/X7,0)</f>
        <v>0</v>
      </c>
    </row>
    <row r="8" spans="2:27">
      <c r="B8" s="31" t="s">
        <v>623</v>
      </c>
      <c r="C8" s="31">
        <f>'DQ Template'!U6</f>
        <v>0</v>
      </c>
      <c r="D8" s="31" t="b">
        <f>C8&lt;&gt;References!$E$32</f>
        <v>1</v>
      </c>
      <c r="E8" s="31" t="b">
        <f>COUNTIF(References!$B$7:$B$16,C8)&gt;0</f>
        <v>0</v>
      </c>
      <c r="F8" s="55" t="str">
        <f>+IF('DQ Template'!C34="Yes","TRUE","FALSE")</f>
        <v>FALSE</v>
      </c>
      <c r="G8" s="61" t="str">
        <f>IF(D8,IF(E8,_xlfn.XLOOKUP(C8,References!$B$7:$B$16,References!$E$7:$E$16),IF(F8,X8,'DQ Template'!J34)),DEFAULT)</f>
        <v/>
      </c>
      <c r="H8" s="382" t="str">
        <f>IF(D8,IF(E8,_xlfn.XLOOKUP(C8,References!$B$7:$B$16,References!$F$7:$F$16),IF(F8,Y8,'DQ Template'!G34)),DEFAULT)</f>
        <v/>
      </c>
      <c r="I8" s="381" t="str">
        <f>IF(D8,IF(E8,_xlfn.XLOOKUP(C8,References!$B$7:$B$16,References!$F$7:$F$16),IF(F8,Z8,'DQ Template'!H34)),DEFAULT)</f>
        <v/>
      </c>
      <c r="J8" s="382" t="str">
        <f>IF(D8,IF(E8,_xlfn.XLOOKUP(C8,References!$B$7:$B$16,References!$D$7:$D$16),IF(F8,AA8,'DQ Template'!I34)),DEFAULT)</f>
        <v/>
      </c>
      <c r="K8" s="382" t="e">
        <f>IF(D8,H8+J8,DEFAULT)</f>
        <v>#VALUE!</v>
      </c>
      <c r="L8" s="381" t="e">
        <f>IF(D8,I8+J8,DEFAULT)</f>
        <v>#VALUE!</v>
      </c>
      <c r="N8" s="55" t="str">
        <f>+IF('DQ Template'!C34="Yes","TRUE","FALSE")</f>
        <v>FALSE</v>
      </c>
      <c r="O8" s="31" t="b">
        <f>IF(N8,'DQ Template'!D34)</f>
        <v>0</v>
      </c>
      <c r="P8" s="31" t="b">
        <f>IF(N8,'DQ Template'!F34)</f>
        <v>0</v>
      </c>
      <c r="Q8" s="31">
        <f>IF(N8,_xlfn.XLOOKUP(O8,References!$B$7:$B$16,References!$E$7:$E$16),DEFAULT)</f>
        <v>0</v>
      </c>
      <c r="R8" s="31">
        <f>IF(N8,_xlfn.XLOOKUP(O8,References!$B$7:$B$16,References!$F$7:$F$16),DEFAULT)</f>
        <v>0</v>
      </c>
      <c r="S8" s="31">
        <f>IF(N8,_xlfn.XLOOKUP(O8,References!$B$7:$B$16,References!$D$7:$D$16),DEFAULT)</f>
        <v>0</v>
      </c>
      <c r="T8" s="31" t="str">
        <f>'DQ Template'!J34</f>
        <v/>
      </c>
      <c r="U8" s="31" t="str">
        <f>'DQ Template'!G34</f>
        <v/>
      </c>
      <c r="V8" s="364" t="str">
        <f>'DQ Template'!H34</f>
        <v/>
      </c>
      <c r="W8" s="31" t="str">
        <f>'DQ Template'!I34</f>
        <v/>
      </c>
      <c r="X8" s="31" t="e">
        <f>(1-$P8)*Q8+$P8*T8</f>
        <v>#VALUE!</v>
      </c>
      <c r="Y8" s="31">
        <f>IF(N8,((1-P8)*Q8*R8+P8*T8*U8)/X8,0)</f>
        <v>0</v>
      </c>
      <c r="Z8" s="381">
        <f t="shared" si="0"/>
        <v>0</v>
      </c>
      <c r="AA8" s="31">
        <f>IF(N8,((1-P8)*Q8*S8+P8*T8*W8)/X8,0)</f>
        <v>0</v>
      </c>
    </row>
    <row r="9" spans="2:27">
      <c r="B9" s="31" t="s">
        <v>624</v>
      </c>
      <c r="C9" s="31">
        <f>'DQ Template'!V6</f>
        <v>0</v>
      </c>
      <c r="D9" s="31" t="b">
        <f>C9&lt;&gt;References!$E$32</f>
        <v>1</v>
      </c>
      <c r="E9" s="31" t="b">
        <f>COUNTIF(References!$B$7:$B$16,C9)&gt;0</f>
        <v>0</v>
      </c>
      <c r="F9" s="55" t="str">
        <f>+IF('DQ Template'!C35="Yes","TRUE","FALSE")</f>
        <v>FALSE</v>
      </c>
      <c r="G9" s="61" t="str">
        <f>IF(D9,IF(E9,_xlfn.XLOOKUP(C9,References!$B$7:$B$16,References!$E$7:$E$16),IF(F9,X9,'DQ Template'!J35)),DEFAULT)</f>
        <v/>
      </c>
      <c r="H9" s="382" t="str">
        <f>IF(D9,IF(E9,_xlfn.XLOOKUP(C9,References!$B$7:$B$16,References!$F$7:$F$16),IF(F9,Y9,'DQ Template'!G35)),DEFAULT)</f>
        <v/>
      </c>
      <c r="I9" s="381" t="str">
        <f>IF(D9,IF(E9,_xlfn.XLOOKUP(C9,References!$B$7:$B$16,References!$F$7:$F$16),IF(F9,Z9,'DQ Template'!H35)),DEFAULT)</f>
        <v/>
      </c>
      <c r="J9" s="382" t="str">
        <f>IF(D9,IF(E9,_xlfn.XLOOKUP(C9,References!$B$7:$B$16,References!$D$7:$D$16),IF(F9,AA9,'DQ Template'!I35)),DEFAULT)</f>
        <v/>
      </c>
      <c r="K9" s="382" t="e">
        <f>IF(D9,H9+J9,DEFAULT)</f>
        <v>#VALUE!</v>
      </c>
      <c r="L9" s="381" t="e">
        <f>IF(D9,I9+J9,DEFAULT)</f>
        <v>#VALUE!</v>
      </c>
      <c r="N9" s="55" t="str">
        <f>+IF('DQ Template'!C35="Yes","TRUE","FALSE")</f>
        <v>FALSE</v>
      </c>
      <c r="O9" s="31" t="b">
        <f>IF(N9,'DQ Template'!D35)</f>
        <v>0</v>
      </c>
      <c r="P9" s="31" t="b">
        <f>IF(N9,'DQ Template'!F35)</f>
        <v>0</v>
      </c>
      <c r="Q9" s="31">
        <f>IF(N9,_xlfn.XLOOKUP(O9,References!$B$7:$B$16,References!$E$7:$E$16),DEFAULT)</f>
        <v>0</v>
      </c>
      <c r="R9" s="31">
        <f>IF(N9,_xlfn.XLOOKUP(O9,References!$B$7:$B$16,References!$F$7:$F$16),DEFAULT)</f>
        <v>0</v>
      </c>
      <c r="S9" s="31">
        <f>IF(N9,_xlfn.XLOOKUP(O9,References!$B$7:$B$16,References!$D$7:$D$16),DEFAULT)</f>
        <v>0</v>
      </c>
      <c r="T9" s="31" t="str">
        <f>'DQ Template'!J35</f>
        <v/>
      </c>
      <c r="U9" s="31" t="str">
        <f>'DQ Template'!G35</f>
        <v/>
      </c>
      <c r="V9" s="364" t="str">
        <f>'DQ Template'!H35</f>
        <v/>
      </c>
      <c r="W9" s="31" t="str">
        <f>'DQ Template'!I35</f>
        <v/>
      </c>
      <c r="X9" s="31" t="e">
        <f>(1-$P9)*Q9+$P9*T9</f>
        <v>#VALUE!</v>
      </c>
      <c r="Y9" s="31">
        <f>IF(N9,((1-P9)*Q9*R9+P9*T9*U9)/X9,0)</f>
        <v>0</v>
      </c>
      <c r="Z9" s="381">
        <f t="shared" si="0"/>
        <v>0</v>
      </c>
      <c r="AA9" s="31">
        <f>IF(N9,((1-P9)*Q9*S9+P9*T9*W9)/X9,0)</f>
        <v>0</v>
      </c>
    </row>
    <row r="10" spans="2:27">
      <c r="F10" s="61"/>
      <c r="G10" s="58"/>
      <c r="H10" s="58"/>
      <c r="I10" s="58"/>
    </row>
    <row r="12" spans="2:27" s="33" customFormat="1">
      <c r="B12" s="33" t="s">
        <v>625</v>
      </c>
    </row>
    <row r="14" spans="2:27">
      <c r="B14" s="56"/>
      <c r="C14" s="56" t="s">
        <v>139</v>
      </c>
      <c r="D14" s="56" t="s">
        <v>160</v>
      </c>
      <c r="E14" s="56" t="s">
        <v>162</v>
      </c>
      <c r="F14" s="56" t="s">
        <v>163</v>
      </c>
      <c r="G14" s="32"/>
    </row>
    <row r="15" spans="2:27">
      <c r="B15" s="165" t="s">
        <v>626</v>
      </c>
      <c r="C15" s="166" t="e">
        <f>+SUM(C25:V25)-SUM(C29:V29)</f>
        <v>#VALUE!</v>
      </c>
      <c r="D15" s="166" t="e">
        <f>+SUM(C34:V34)-SUM(C38:V38)</f>
        <v>#VALUE!</v>
      </c>
      <c r="E15" s="166" t="e">
        <f>+SUM(C43:V43)-SUM(C47:V47)</f>
        <v>#VALUE!</v>
      </c>
      <c r="F15" s="166" t="e">
        <f>+SUM(C52:V52)-SUM(C56:V56)</f>
        <v>#VALUE!</v>
      </c>
      <c r="G15" s="167"/>
      <c r="H15" s="167"/>
      <c r="I15" s="167"/>
      <c r="J15" s="167"/>
      <c r="K15" s="167"/>
      <c r="L15" s="167"/>
      <c r="M15" s="167"/>
      <c r="N15" s="167"/>
      <c r="O15" s="167"/>
      <c r="P15" s="167"/>
      <c r="Q15" s="167"/>
      <c r="R15" s="167"/>
      <c r="S15" s="167"/>
      <c r="T15" s="167"/>
      <c r="U15" s="167"/>
      <c r="V15" s="167"/>
    </row>
    <row r="16" spans="2:27">
      <c r="B16" s="164" t="s">
        <v>627</v>
      </c>
      <c r="C16" s="161" t="e">
        <f>+SUM(C29:V29)</f>
        <v>#VALUE!</v>
      </c>
      <c r="D16" s="161" t="e">
        <f>+SUM(C38:V38)</f>
        <v>#VALUE!</v>
      </c>
      <c r="E16" s="161" t="e">
        <f>+SUM(C47:V47)</f>
        <v>#VALUE!</v>
      </c>
      <c r="F16" s="161" t="e">
        <f>+SUM(C56:V56)</f>
        <v>#VALUE!</v>
      </c>
      <c r="G16" s="167"/>
      <c r="H16" s="167"/>
      <c r="I16" s="167"/>
      <c r="J16" s="167"/>
      <c r="K16" s="167"/>
      <c r="L16" s="167"/>
      <c r="M16" s="167"/>
      <c r="N16" s="167"/>
      <c r="O16" s="167"/>
      <c r="P16" s="167"/>
      <c r="Q16" s="167"/>
      <c r="R16" s="167"/>
      <c r="S16" s="167"/>
      <c r="T16" s="167"/>
      <c r="U16" s="167"/>
      <c r="V16" s="167"/>
    </row>
    <row r="17" spans="2:22">
      <c r="B17" s="164" t="s">
        <v>628</v>
      </c>
      <c r="C17" s="161">
        <f>+SUM(C26:V26)-SUM(C28:V28)</f>
        <v>0</v>
      </c>
      <c r="D17" s="161">
        <f>+SUM(C35:V35)-SUM(C37:V37)</f>
        <v>0</v>
      </c>
      <c r="E17" s="161">
        <f>+SUM(C44:V44)-SUM(C46:V46)</f>
        <v>0</v>
      </c>
      <c r="F17" s="161">
        <f>+SUM(C53:V53)-SUM(C55:V55)</f>
        <v>0</v>
      </c>
      <c r="G17" s="167"/>
      <c r="H17" s="167"/>
      <c r="I17" s="167"/>
      <c r="J17" s="167"/>
      <c r="K17" s="167"/>
      <c r="L17" s="167"/>
      <c r="M17" s="167"/>
      <c r="N17" s="167"/>
      <c r="O17" s="167"/>
      <c r="P17" s="167"/>
      <c r="Q17" s="167"/>
      <c r="R17" s="167"/>
      <c r="S17" s="167"/>
      <c r="T17" s="167"/>
      <c r="U17" s="167"/>
      <c r="V17" s="167"/>
    </row>
    <row r="18" spans="2:22">
      <c r="B18" s="180" t="s">
        <v>629</v>
      </c>
      <c r="C18" s="161">
        <f>+SUM(C28:V28)</f>
        <v>0</v>
      </c>
      <c r="D18" s="161">
        <f>+SUM(C37:V37)</f>
        <v>0</v>
      </c>
      <c r="E18" s="161">
        <f>+SUM(C46:V46)</f>
        <v>0</v>
      </c>
      <c r="F18" s="161">
        <f>+SUM(C55:V55)</f>
        <v>0</v>
      </c>
      <c r="G18" s="167"/>
      <c r="H18" s="167"/>
      <c r="I18" s="167"/>
      <c r="J18" s="167"/>
      <c r="K18" s="167"/>
      <c r="L18" s="167"/>
      <c r="M18" s="167"/>
      <c r="N18" s="167"/>
      <c r="O18" s="167"/>
      <c r="P18" s="167"/>
      <c r="Q18" s="167"/>
      <c r="R18" s="167"/>
      <c r="S18" s="167"/>
      <c r="T18" s="167"/>
      <c r="U18" s="167"/>
      <c r="V18" s="167"/>
    </row>
    <row r="19" spans="2:22" s="32" customFormat="1">
      <c r="C19" s="167"/>
      <c r="D19" s="167"/>
      <c r="E19" s="167"/>
      <c r="F19" s="167"/>
      <c r="G19" s="167"/>
      <c r="H19" s="167"/>
      <c r="I19" s="167"/>
      <c r="J19" s="167"/>
      <c r="K19" s="167"/>
      <c r="L19" s="167"/>
      <c r="M19" s="167"/>
      <c r="N19" s="167"/>
      <c r="O19" s="167"/>
      <c r="P19" s="167"/>
      <c r="Q19" s="167"/>
      <c r="R19" s="167"/>
      <c r="S19" s="167"/>
      <c r="T19" s="167"/>
      <c r="U19" s="167"/>
      <c r="V19" s="167"/>
    </row>
    <row r="20" spans="2:22" s="32" customFormat="1">
      <c r="B20" s="168"/>
      <c r="C20" s="169" t="s">
        <v>630</v>
      </c>
      <c r="D20" s="169" t="s">
        <v>631</v>
      </c>
      <c r="E20" s="169" t="s">
        <v>632</v>
      </c>
      <c r="F20" s="169" t="s">
        <v>633</v>
      </c>
      <c r="G20" s="169" t="s">
        <v>634</v>
      </c>
      <c r="H20" s="169" t="s">
        <v>635</v>
      </c>
      <c r="I20" s="169" t="s">
        <v>636</v>
      </c>
      <c r="J20" s="169" t="s">
        <v>637</v>
      </c>
      <c r="K20" s="169" t="s">
        <v>638</v>
      </c>
      <c r="L20" s="169" t="s">
        <v>639</v>
      </c>
      <c r="M20" s="169" t="s">
        <v>640</v>
      </c>
      <c r="N20" s="169" t="s">
        <v>641</v>
      </c>
      <c r="O20" s="169" t="s">
        <v>642</v>
      </c>
      <c r="P20" s="169" t="s">
        <v>643</v>
      </c>
      <c r="Q20" s="169" t="s">
        <v>644</v>
      </c>
      <c r="R20" s="169" t="s">
        <v>645</v>
      </c>
      <c r="S20" s="169" t="s">
        <v>646</v>
      </c>
      <c r="T20" s="169" t="s">
        <v>647</v>
      </c>
      <c r="U20" s="169" t="s">
        <v>648</v>
      </c>
      <c r="V20" s="169" t="s">
        <v>649</v>
      </c>
    </row>
    <row r="21" spans="2:22">
      <c r="C21" s="58"/>
      <c r="D21" s="58"/>
      <c r="E21" s="58"/>
      <c r="F21" s="58"/>
      <c r="G21" s="58"/>
      <c r="H21" s="58"/>
      <c r="I21" s="58"/>
      <c r="J21" s="58"/>
      <c r="K21" s="58"/>
      <c r="L21" s="58"/>
      <c r="M21" s="58"/>
      <c r="N21" s="58"/>
      <c r="O21" s="58"/>
      <c r="P21" s="58"/>
      <c r="Q21" s="58"/>
      <c r="R21" s="58"/>
      <c r="S21" s="58"/>
      <c r="T21" s="58"/>
      <c r="U21" s="58"/>
      <c r="V21" s="58"/>
    </row>
    <row r="22" spans="2:22">
      <c r="B22" s="154" t="s">
        <v>650</v>
      </c>
      <c r="C22" s="58"/>
      <c r="D22" s="58"/>
      <c r="E22" s="58"/>
      <c r="F22" s="58"/>
      <c r="G22" s="58"/>
      <c r="H22" s="58"/>
      <c r="I22" s="58"/>
      <c r="J22" s="58"/>
      <c r="K22" s="58"/>
      <c r="L22" s="58"/>
      <c r="M22" s="58"/>
      <c r="N22" s="58"/>
      <c r="O22" s="58"/>
      <c r="P22" s="58"/>
      <c r="Q22" s="58"/>
      <c r="R22" s="58"/>
      <c r="S22" s="58"/>
      <c r="T22" s="58"/>
      <c r="U22" s="58"/>
      <c r="V22" s="58"/>
    </row>
    <row r="23" spans="2:22">
      <c r="B23" s="159" t="s">
        <v>651</v>
      </c>
      <c r="C23" s="163" cm="1">
        <f t="array" ref="C23">IF(ISNUMBER(SEARCH("alternative fuel*", C6)), TRANSPOSE('DQ Template'!S$8:S$27), 0)</f>
        <v>0</v>
      </c>
      <c r="D23" s="163"/>
      <c r="E23" s="163"/>
      <c r="F23" s="163"/>
      <c r="G23" s="163"/>
      <c r="H23" s="163"/>
      <c r="I23" s="163"/>
      <c r="J23" s="163"/>
      <c r="K23" s="163"/>
      <c r="L23" s="163"/>
      <c r="M23" s="163"/>
      <c r="N23" s="163"/>
      <c r="O23" s="163"/>
      <c r="P23" s="163"/>
      <c r="Q23" s="163"/>
      <c r="R23" s="163"/>
      <c r="S23" s="163"/>
      <c r="T23" s="163"/>
      <c r="U23" s="163"/>
      <c r="V23" s="163"/>
    </row>
    <row r="24" spans="2:22">
      <c r="B24" s="159" t="s">
        <v>652</v>
      </c>
      <c r="C24" s="161">
        <f>IF(C23&lt;&gt;0,(+$G$6*C23*1000000),0)</f>
        <v>0</v>
      </c>
      <c r="D24" s="161">
        <f t="shared" ref="D24:V24" si="1">IF(D23&lt;&gt;0,(+$G$6*D23*1000000),0)</f>
        <v>0</v>
      </c>
      <c r="E24" s="161">
        <f t="shared" si="1"/>
        <v>0</v>
      </c>
      <c r="F24" s="161">
        <f t="shared" si="1"/>
        <v>0</v>
      </c>
      <c r="G24" s="161">
        <f t="shared" si="1"/>
        <v>0</v>
      </c>
      <c r="H24" s="161">
        <f t="shared" si="1"/>
        <v>0</v>
      </c>
      <c r="I24" s="161">
        <f t="shared" si="1"/>
        <v>0</v>
      </c>
      <c r="J24" s="161">
        <f t="shared" si="1"/>
        <v>0</v>
      </c>
      <c r="K24" s="161">
        <f t="shared" si="1"/>
        <v>0</v>
      </c>
      <c r="L24" s="161">
        <f t="shared" si="1"/>
        <v>0</v>
      </c>
      <c r="M24" s="161">
        <f t="shared" si="1"/>
        <v>0</v>
      </c>
      <c r="N24" s="161">
        <f t="shared" si="1"/>
        <v>0</v>
      </c>
      <c r="O24" s="161">
        <f t="shared" si="1"/>
        <v>0</v>
      </c>
      <c r="P24" s="161">
        <f t="shared" si="1"/>
        <v>0</v>
      </c>
      <c r="Q24" s="161">
        <f t="shared" si="1"/>
        <v>0</v>
      </c>
      <c r="R24" s="161">
        <f t="shared" si="1"/>
        <v>0</v>
      </c>
      <c r="S24" s="161">
        <f t="shared" si="1"/>
        <v>0</v>
      </c>
      <c r="T24" s="161">
        <f t="shared" si="1"/>
        <v>0</v>
      </c>
      <c r="U24" s="161">
        <f t="shared" si="1"/>
        <v>0</v>
      </c>
      <c r="V24" s="161">
        <f t="shared" si="1"/>
        <v>0</v>
      </c>
    </row>
    <row r="25" spans="2:22">
      <c r="B25" s="159" t="s">
        <v>653</v>
      </c>
      <c r="C25" s="161" t="e">
        <f>+C23*$G$6</f>
        <v>#VALUE!</v>
      </c>
      <c r="D25" s="161" t="e">
        <f t="shared" ref="D25:V25" si="2">+D23*$G$6</f>
        <v>#VALUE!</v>
      </c>
      <c r="E25" s="161" t="e">
        <f t="shared" si="2"/>
        <v>#VALUE!</v>
      </c>
      <c r="F25" s="161" t="e">
        <f t="shared" si="2"/>
        <v>#VALUE!</v>
      </c>
      <c r="G25" s="161" t="e">
        <f t="shared" si="2"/>
        <v>#VALUE!</v>
      </c>
      <c r="H25" s="161" t="e">
        <f t="shared" si="2"/>
        <v>#VALUE!</v>
      </c>
      <c r="I25" s="161" t="e">
        <f t="shared" si="2"/>
        <v>#VALUE!</v>
      </c>
      <c r="J25" s="161" t="e">
        <f t="shared" si="2"/>
        <v>#VALUE!</v>
      </c>
      <c r="K25" s="161" t="e">
        <f t="shared" si="2"/>
        <v>#VALUE!</v>
      </c>
      <c r="L25" s="161" t="e">
        <f t="shared" si="2"/>
        <v>#VALUE!</v>
      </c>
      <c r="M25" s="161" t="e">
        <f t="shared" si="2"/>
        <v>#VALUE!</v>
      </c>
      <c r="N25" s="161" t="e">
        <f t="shared" si="2"/>
        <v>#VALUE!</v>
      </c>
      <c r="O25" s="161" t="e">
        <f t="shared" si="2"/>
        <v>#VALUE!</v>
      </c>
      <c r="P25" s="161" t="e">
        <f t="shared" si="2"/>
        <v>#VALUE!</v>
      </c>
      <c r="Q25" s="161" t="e">
        <f t="shared" si="2"/>
        <v>#VALUE!</v>
      </c>
      <c r="R25" s="161" t="e">
        <f t="shared" si="2"/>
        <v>#VALUE!</v>
      </c>
      <c r="S25" s="161" t="e">
        <f t="shared" si="2"/>
        <v>#VALUE!</v>
      </c>
      <c r="T25" s="161" t="e">
        <f t="shared" si="2"/>
        <v>#VALUE!</v>
      </c>
      <c r="U25" s="161" t="e">
        <f t="shared" si="2"/>
        <v>#VALUE!</v>
      </c>
      <c r="V25" s="161" t="e">
        <f t="shared" si="2"/>
        <v>#VALUE!</v>
      </c>
    </row>
    <row r="26" spans="2:22">
      <c r="B26" s="158" t="s">
        <v>654</v>
      </c>
      <c r="C26" s="163" cm="1">
        <f t="array" ref="C26">IF(ISNUMBER(SEARCH("alternative fuel*", C6)), TRANSPOSE('DQ Template'!Y$8:Y$27), 0)</f>
        <v>0</v>
      </c>
      <c r="D26" s="163"/>
      <c r="E26" s="163"/>
      <c r="F26" s="163"/>
      <c r="G26" s="163"/>
      <c r="H26" s="163"/>
      <c r="I26" s="163"/>
      <c r="J26" s="163"/>
      <c r="K26" s="163"/>
      <c r="L26" s="163"/>
      <c r="M26" s="163"/>
      <c r="N26" s="163"/>
      <c r="O26" s="163"/>
      <c r="P26" s="163"/>
      <c r="Q26" s="163"/>
      <c r="R26" s="163"/>
      <c r="S26" s="163"/>
      <c r="T26" s="163"/>
      <c r="U26" s="163"/>
      <c r="V26" s="163"/>
    </row>
    <row r="27" spans="2:22">
      <c r="B27" s="158" t="s">
        <v>655</v>
      </c>
      <c r="C27" s="163" t="e">
        <f>+C26*$G$6</f>
        <v>#VALUE!</v>
      </c>
      <c r="D27" s="163" t="e">
        <f t="shared" ref="D27:V27" si="3">+D26*$G$6</f>
        <v>#VALUE!</v>
      </c>
      <c r="E27" s="163" t="e">
        <f t="shared" si="3"/>
        <v>#VALUE!</v>
      </c>
      <c r="F27" s="163" t="e">
        <f t="shared" si="3"/>
        <v>#VALUE!</v>
      </c>
      <c r="G27" s="163" t="e">
        <f t="shared" si="3"/>
        <v>#VALUE!</v>
      </c>
      <c r="H27" s="163" t="e">
        <f t="shared" si="3"/>
        <v>#VALUE!</v>
      </c>
      <c r="I27" s="163" t="e">
        <f t="shared" si="3"/>
        <v>#VALUE!</v>
      </c>
      <c r="J27" s="163" t="e">
        <f t="shared" si="3"/>
        <v>#VALUE!</v>
      </c>
      <c r="K27" s="163" t="e">
        <f t="shared" si="3"/>
        <v>#VALUE!</v>
      </c>
      <c r="L27" s="163" t="e">
        <f t="shared" si="3"/>
        <v>#VALUE!</v>
      </c>
      <c r="M27" s="163" t="e">
        <f t="shared" si="3"/>
        <v>#VALUE!</v>
      </c>
      <c r="N27" s="163" t="e">
        <f t="shared" si="3"/>
        <v>#VALUE!</v>
      </c>
      <c r="O27" s="163" t="e">
        <f t="shared" si="3"/>
        <v>#VALUE!</v>
      </c>
      <c r="P27" s="163" t="e">
        <f t="shared" si="3"/>
        <v>#VALUE!</v>
      </c>
      <c r="Q27" s="163" t="e">
        <f t="shared" si="3"/>
        <v>#VALUE!</v>
      </c>
      <c r="R27" s="163" t="e">
        <f t="shared" si="3"/>
        <v>#VALUE!</v>
      </c>
      <c r="S27" s="163" t="e">
        <f t="shared" si="3"/>
        <v>#VALUE!</v>
      </c>
      <c r="T27" s="163" t="e">
        <f t="shared" si="3"/>
        <v>#VALUE!</v>
      </c>
      <c r="U27" s="163" t="e">
        <f t="shared" si="3"/>
        <v>#VALUE!</v>
      </c>
      <c r="V27" s="163" t="e">
        <f t="shared" si="3"/>
        <v>#VALUE!</v>
      </c>
    </row>
    <row r="28" spans="2:22">
      <c r="B28" s="158" t="s">
        <v>629</v>
      </c>
      <c r="C28" s="163" cm="1">
        <f t="array" ref="C28">IF(ISNUMBER(SEARCH("alternative fuel*", C6)), TRANSPOSE('DQ Template'!AC$8:AC$27), 0)</f>
        <v>0</v>
      </c>
      <c r="D28" s="163"/>
      <c r="E28" s="163"/>
      <c r="F28" s="163"/>
      <c r="G28" s="163"/>
      <c r="H28" s="163"/>
      <c r="I28" s="163"/>
      <c r="J28" s="163"/>
      <c r="K28" s="163"/>
      <c r="L28" s="163"/>
      <c r="M28" s="163"/>
      <c r="N28" s="163"/>
      <c r="O28" s="163"/>
      <c r="P28" s="163"/>
      <c r="Q28" s="163"/>
      <c r="R28" s="163"/>
      <c r="S28" s="163"/>
      <c r="T28" s="163"/>
      <c r="U28" s="163"/>
      <c r="V28" s="163"/>
    </row>
    <row r="29" spans="2:22">
      <c r="B29" s="171" t="s">
        <v>656</v>
      </c>
      <c r="C29" s="163" t="e">
        <f>+C28*$G$6</f>
        <v>#VALUE!</v>
      </c>
      <c r="D29" s="163" t="e">
        <f t="shared" ref="D29:V29" si="4">+D28*$G$6</f>
        <v>#VALUE!</v>
      </c>
      <c r="E29" s="163" t="e">
        <f t="shared" si="4"/>
        <v>#VALUE!</v>
      </c>
      <c r="F29" s="163" t="e">
        <f t="shared" si="4"/>
        <v>#VALUE!</v>
      </c>
      <c r="G29" s="163" t="e">
        <f t="shared" si="4"/>
        <v>#VALUE!</v>
      </c>
      <c r="H29" s="163" t="e">
        <f t="shared" si="4"/>
        <v>#VALUE!</v>
      </c>
      <c r="I29" s="163" t="e">
        <f t="shared" si="4"/>
        <v>#VALUE!</v>
      </c>
      <c r="J29" s="163" t="e">
        <f t="shared" si="4"/>
        <v>#VALUE!</v>
      </c>
      <c r="K29" s="163" t="e">
        <f t="shared" si="4"/>
        <v>#VALUE!</v>
      </c>
      <c r="L29" s="163" t="e">
        <f t="shared" si="4"/>
        <v>#VALUE!</v>
      </c>
      <c r="M29" s="163" t="e">
        <f t="shared" si="4"/>
        <v>#VALUE!</v>
      </c>
      <c r="N29" s="163" t="e">
        <f t="shared" si="4"/>
        <v>#VALUE!</v>
      </c>
      <c r="O29" s="163" t="e">
        <f t="shared" si="4"/>
        <v>#VALUE!</v>
      </c>
      <c r="P29" s="163" t="e">
        <f t="shared" si="4"/>
        <v>#VALUE!</v>
      </c>
      <c r="Q29" s="163" t="e">
        <f t="shared" si="4"/>
        <v>#VALUE!</v>
      </c>
      <c r="R29" s="163" t="e">
        <f t="shared" si="4"/>
        <v>#VALUE!</v>
      </c>
      <c r="S29" s="163" t="e">
        <f t="shared" si="4"/>
        <v>#VALUE!</v>
      </c>
      <c r="T29" s="163" t="e">
        <f t="shared" si="4"/>
        <v>#VALUE!</v>
      </c>
      <c r="U29" s="163" t="e">
        <f t="shared" si="4"/>
        <v>#VALUE!</v>
      </c>
      <c r="V29" s="163" t="e">
        <f t="shared" si="4"/>
        <v>#VALUE!</v>
      </c>
    </row>
    <row r="30" spans="2:22">
      <c r="C30" s="58"/>
      <c r="D30" s="155"/>
      <c r="E30" s="58"/>
      <c r="F30" s="58"/>
      <c r="G30" s="58"/>
      <c r="H30" s="58"/>
      <c r="I30" s="58"/>
      <c r="J30" s="58"/>
      <c r="K30" s="58"/>
      <c r="L30" s="58"/>
      <c r="M30" s="58"/>
      <c r="N30" s="58"/>
      <c r="O30" s="58"/>
      <c r="P30" s="58"/>
      <c r="Q30" s="58"/>
      <c r="R30" s="58"/>
      <c r="S30" s="58"/>
      <c r="T30" s="58"/>
      <c r="U30" s="58"/>
      <c r="V30" s="58"/>
    </row>
    <row r="31" spans="2:22">
      <c r="B31" s="154" t="s">
        <v>657</v>
      </c>
      <c r="C31" s="58"/>
      <c r="D31" s="155"/>
      <c r="E31" s="58"/>
      <c r="F31" s="58"/>
      <c r="G31" s="58"/>
      <c r="H31" s="58"/>
      <c r="I31" s="58"/>
      <c r="J31" s="58"/>
      <c r="K31" s="58"/>
      <c r="L31" s="58"/>
      <c r="M31" s="58"/>
      <c r="N31" s="58"/>
      <c r="O31" s="58"/>
      <c r="P31" s="58"/>
      <c r="Q31" s="58"/>
      <c r="R31" s="58"/>
      <c r="S31" s="58"/>
      <c r="T31" s="58"/>
      <c r="U31" s="58"/>
      <c r="V31" s="58"/>
    </row>
    <row r="32" spans="2:22">
      <c r="B32" s="159" t="s">
        <v>651</v>
      </c>
      <c r="C32" s="162" cm="1">
        <f t="array" ref="C32">IF(ISNUMBER(SEARCH("alternative fuel*", C7)), TRANSPOSE('DQ Template'!T$8:T$27), 0)</f>
        <v>0</v>
      </c>
      <c r="D32" s="162"/>
      <c r="E32" s="162"/>
      <c r="F32" s="163"/>
      <c r="G32" s="163"/>
      <c r="H32" s="163"/>
      <c r="I32" s="163"/>
      <c r="J32" s="163"/>
      <c r="K32" s="163"/>
      <c r="L32" s="163"/>
      <c r="M32" s="163"/>
      <c r="N32" s="163"/>
      <c r="O32" s="163"/>
      <c r="P32" s="163"/>
      <c r="Q32" s="163"/>
      <c r="R32" s="163"/>
      <c r="S32" s="163"/>
      <c r="T32" s="163"/>
      <c r="U32" s="163"/>
      <c r="V32" s="163"/>
    </row>
    <row r="33" spans="2:22">
      <c r="B33" s="159" t="s">
        <v>652</v>
      </c>
      <c r="C33" s="161">
        <f t="shared" ref="C33:V33" si="5">IF(C32&lt;&gt;0,(+$G$7*C32*1000000),0)</f>
        <v>0</v>
      </c>
      <c r="D33" s="161">
        <f t="shared" si="5"/>
        <v>0</v>
      </c>
      <c r="E33" s="161">
        <f t="shared" si="5"/>
        <v>0</v>
      </c>
      <c r="F33" s="161">
        <f t="shared" si="5"/>
        <v>0</v>
      </c>
      <c r="G33" s="161">
        <f t="shared" si="5"/>
        <v>0</v>
      </c>
      <c r="H33" s="161">
        <f t="shared" si="5"/>
        <v>0</v>
      </c>
      <c r="I33" s="161">
        <f t="shared" si="5"/>
        <v>0</v>
      </c>
      <c r="J33" s="161">
        <f t="shared" si="5"/>
        <v>0</v>
      </c>
      <c r="K33" s="161">
        <f t="shared" si="5"/>
        <v>0</v>
      </c>
      <c r="L33" s="161">
        <f t="shared" si="5"/>
        <v>0</v>
      </c>
      <c r="M33" s="161">
        <f t="shared" si="5"/>
        <v>0</v>
      </c>
      <c r="N33" s="161">
        <f t="shared" si="5"/>
        <v>0</v>
      </c>
      <c r="O33" s="161">
        <f t="shared" si="5"/>
        <v>0</v>
      </c>
      <c r="P33" s="161">
        <f t="shared" si="5"/>
        <v>0</v>
      </c>
      <c r="Q33" s="161">
        <f t="shared" si="5"/>
        <v>0</v>
      </c>
      <c r="R33" s="161">
        <f t="shared" si="5"/>
        <v>0</v>
      </c>
      <c r="S33" s="161">
        <f t="shared" si="5"/>
        <v>0</v>
      </c>
      <c r="T33" s="161">
        <f t="shared" si="5"/>
        <v>0</v>
      </c>
      <c r="U33" s="161">
        <f t="shared" si="5"/>
        <v>0</v>
      </c>
      <c r="V33" s="161">
        <f t="shared" si="5"/>
        <v>0</v>
      </c>
    </row>
    <row r="34" spans="2:22">
      <c r="B34" s="159" t="s">
        <v>653</v>
      </c>
      <c r="C34" s="161" t="e">
        <f>+C32*$G$7</f>
        <v>#VALUE!</v>
      </c>
      <c r="D34" s="161" t="e">
        <f t="shared" ref="D34:V34" si="6">+D32*$G$7</f>
        <v>#VALUE!</v>
      </c>
      <c r="E34" s="160" t="e">
        <f t="shared" si="6"/>
        <v>#VALUE!</v>
      </c>
      <c r="F34" s="161" t="e">
        <f t="shared" si="6"/>
        <v>#VALUE!</v>
      </c>
      <c r="G34" s="161" t="e">
        <f t="shared" si="6"/>
        <v>#VALUE!</v>
      </c>
      <c r="H34" s="161" t="e">
        <f t="shared" si="6"/>
        <v>#VALUE!</v>
      </c>
      <c r="I34" s="161" t="e">
        <f t="shared" si="6"/>
        <v>#VALUE!</v>
      </c>
      <c r="J34" s="161" t="e">
        <f t="shared" si="6"/>
        <v>#VALUE!</v>
      </c>
      <c r="K34" s="161" t="e">
        <f t="shared" si="6"/>
        <v>#VALUE!</v>
      </c>
      <c r="L34" s="161" t="e">
        <f t="shared" si="6"/>
        <v>#VALUE!</v>
      </c>
      <c r="M34" s="161" t="e">
        <f t="shared" si="6"/>
        <v>#VALUE!</v>
      </c>
      <c r="N34" s="161" t="e">
        <f t="shared" si="6"/>
        <v>#VALUE!</v>
      </c>
      <c r="O34" s="161" t="e">
        <f t="shared" si="6"/>
        <v>#VALUE!</v>
      </c>
      <c r="P34" s="161" t="e">
        <f t="shared" si="6"/>
        <v>#VALUE!</v>
      </c>
      <c r="Q34" s="161" t="e">
        <f t="shared" si="6"/>
        <v>#VALUE!</v>
      </c>
      <c r="R34" s="161" t="e">
        <f t="shared" si="6"/>
        <v>#VALUE!</v>
      </c>
      <c r="S34" s="161" t="e">
        <f t="shared" si="6"/>
        <v>#VALUE!</v>
      </c>
      <c r="T34" s="161" t="e">
        <f t="shared" si="6"/>
        <v>#VALUE!</v>
      </c>
      <c r="U34" s="161" t="e">
        <f t="shared" si="6"/>
        <v>#VALUE!</v>
      </c>
      <c r="V34" s="161" t="e">
        <f t="shared" si="6"/>
        <v>#VALUE!</v>
      </c>
    </row>
    <row r="35" spans="2:22">
      <c r="B35" s="158" t="s">
        <v>654</v>
      </c>
      <c r="C35" s="162" cm="1">
        <f t="array" ref="C35">IF(ISNUMBER(SEARCH("alternative fuel*", C7)), TRANSPOSE('DQ Template'!Z$8:Z$27), 0)</f>
        <v>0</v>
      </c>
      <c r="D35" s="162"/>
      <c r="E35" s="162"/>
      <c r="F35" s="163"/>
      <c r="G35" s="163"/>
      <c r="H35" s="163"/>
      <c r="I35" s="163"/>
      <c r="J35" s="163"/>
      <c r="K35" s="163"/>
      <c r="L35" s="163"/>
      <c r="M35" s="163"/>
      <c r="N35" s="163"/>
      <c r="O35" s="163"/>
      <c r="P35" s="163"/>
      <c r="Q35" s="163"/>
      <c r="R35" s="163"/>
      <c r="S35" s="163"/>
      <c r="T35" s="163"/>
      <c r="U35" s="163"/>
      <c r="V35" s="163"/>
    </row>
    <row r="36" spans="2:22">
      <c r="B36" s="158" t="s">
        <v>655</v>
      </c>
      <c r="C36" s="163" t="e">
        <f>+C35*$G$7</f>
        <v>#VALUE!</v>
      </c>
      <c r="D36" s="163" t="e">
        <f t="shared" ref="D36:V36" si="7">+D35*$G$7</f>
        <v>#VALUE!</v>
      </c>
      <c r="E36" s="163" t="e">
        <f t="shared" si="7"/>
        <v>#VALUE!</v>
      </c>
      <c r="F36" s="163" t="e">
        <f t="shared" si="7"/>
        <v>#VALUE!</v>
      </c>
      <c r="G36" s="163" t="e">
        <f t="shared" si="7"/>
        <v>#VALUE!</v>
      </c>
      <c r="H36" s="163" t="e">
        <f t="shared" si="7"/>
        <v>#VALUE!</v>
      </c>
      <c r="I36" s="163" t="e">
        <f t="shared" si="7"/>
        <v>#VALUE!</v>
      </c>
      <c r="J36" s="163" t="e">
        <f t="shared" si="7"/>
        <v>#VALUE!</v>
      </c>
      <c r="K36" s="163" t="e">
        <f t="shared" si="7"/>
        <v>#VALUE!</v>
      </c>
      <c r="L36" s="163" t="e">
        <f t="shared" si="7"/>
        <v>#VALUE!</v>
      </c>
      <c r="M36" s="163" t="e">
        <f t="shared" si="7"/>
        <v>#VALUE!</v>
      </c>
      <c r="N36" s="163" t="e">
        <f t="shared" si="7"/>
        <v>#VALUE!</v>
      </c>
      <c r="O36" s="163" t="e">
        <f t="shared" si="7"/>
        <v>#VALUE!</v>
      </c>
      <c r="P36" s="163" t="e">
        <f t="shared" si="7"/>
        <v>#VALUE!</v>
      </c>
      <c r="Q36" s="163" t="e">
        <f t="shared" si="7"/>
        <v>#VALUE!</v>
      </c>
      <c r="R36" s="163" t="e">
        <f t="shared" si="7"/>
        <v>#VALUE!</v>
      </c>
      <c r="S36" s="163" t="e">
        <f t="shared" si="7"/>
        <v>#VALUE!</v>
      </c>
      <c r="T36" s="163" t="e">
        <f t="shared" si="7"/>
        <v>#VALUE!</v>
      </c>
      <c r="U36" s="163" t="e">
        <f t="shared" si="7"/>
        <v>#VALUE!</v>
      </c>
      <c r="V36" s="163" t="e">
        <f t="shared" si="7"/>
        <v>#VALUE!</v>
      </c>
    </row>
    <row r="37" spans="2:22" s="56" customFormat="1">
      <c r="B37" s="158" t="s">
        <v>629</v>
      </c>
      <c r="C37" s="163" cm="1">
        <f t="array" ref="C37">IF(ISNUMBER(SEARCH("alternative fuel*", C7)), TRANSPOSE('DQ Template'!AD$8:AD$27), 0)</f>
        <v>0</v>
      </c>
      <c r="D37" s="162"/>
      <c r="E37" s="162"/>
      <c r="F37" s="163"/>
      <c r="G37" s="163"/>
      <c r="H37" s="163"/>
      <c r="I37" s="163"/>
      <c r="J37" s="163"/>
      <c r="K37" s="163"/>
      <c r="L37" s="163"/>
      <c r="M37" s="163"/>
      <c r="N37" s="163"/>
      <c r="O37" s="163"/>
      <c r="P37" s="163"/>
      <c r="Q37" s="163"/>
      <c r="R37" s="163"/>
      <c r="S37" s="163"/>
      <c r="T37" s="163"/>
      <c r="U37" s="163"/>
      <c r="V37" s="163"/>
    </row>
    <row r="38" spans="2:22" s="56" customFormat="1">
      <c r="B38" s="171" t="s">
        <v>656</v>
      </c>
      <c r="C38" s="163" t="e">
        <f>+C37*$G$7</f>
        <v>#VALUE!</v>
      </c>
      <c r="D38" s="163" t="e">
        <f t="shared" ref="D38:V38" si="8">+D37*$G$7</f>
        <v>#VALUE!</v>
      </c>
      <c r="E38" s="163" t="e">
        <f t="shared" si="8"/>
        <v>#VALUE!</v>
      </c>
      <c r="F38" s="163" t="e">
        <f t="shared" si="8"/>
        <v>#VALUE!</v>
      </c>
      <c r="G38" s="163" t="e">
        <f t="shared" si="8"/>
        <v>#VALUE!</v>
      </c>
      <c r="H38" s="163" t="e">
        <f t="shared" si="8"/>
        <v>#VALUE!</v>
      </c>
      <c r="I38" s="163" t="e">
        <f t="shared" si="8"/>
        <v>#VALUE!</v>
      </c>
      <c r="J38" s="163" t="e">
        <f t="shared" si="8"/>
        <v>#VALUE!</v>
      </c>
      <c r="K38" s="163" t="e">
        <f t="shared" si="8"/>
        <v>#VALUE!</v>
      </c>
      <c r="L38" s="163" t="e">
        <f t="shared" si="8"/>
        <v>#VALUE!</v>
      </c>
      <c r="M38" s="163" t="e">
        <f t="shared" si="8"/>
        <v>#VALUE!</v>
      </c>
      <c r="N38" s="163" t="e">
        <f t="shared" si="8"/>
        <v>#VALUE!</v>
      </c>
      <c r="O38" s="163" t="e">
        <f t="shared" si="8"/>
        <v>#VALUE!</v>
      </c>
      <c r="P38" s="163" t="e">
        <f t="shared" si="8"/>
        <v>#VALUE!</v>
      </c>
      <c r="Q38" s="163" t="e">
        <f t="shared" si="8"/>
        <v>#VALUE!</v>
      </c>
      <c r="R38" s="163" t="e">
        <f t="shared" si="8"/>
        <v>#VALUE!</v>
      </c>
      <c r="S38" s="163" t="e">
        <f t="shared" si="8"/>
        <v>#VALUE!</v>
      </c>
      <c r="T38" s="163" t="e">
        <f t="shared" si="8"/>
        <v>#VALUE!</v>
      </c>
      <c r="U38" s="163" t="e">
        <f t="shared" si="8"/>
        <v>#VALUE!</v>
      </c>
      <c r="V38" s="163" t="e">
        <f t="shared" si="8"/>
        <v>#VALUE!</v>
      </c>
    </row>
    <row r="39" spans="2:22" s="32" customFormat="1">
      <c r="C39" s="156"/>
      <c r="D39" s="157"/>
      <c r="E39" s="156"/>
      <c r="F39" s="156"/>
      <c r="G39" s="156"/>
      <c r="H39" s="156"/>
      <c r="I39" s="156"/>
      <c r="J39" s="156"/>
      <c r="K39" s="156"/>
      <c r="L39" s="156"/>
      <c r="M39" s="156"/>
      <c r="N39" s="156"/>
      <c r="O39" s="156"/>
      <c r="P39" s="156"/>
      <c r="Q39" s="156"/>
      <c r="R39" s="156"/>
      <c r="S39" s="156"/>
      <c r="T39" s="156"/>
      <c r="U39" s="156"/>
      <c r="V39" s="156"/>
    </row>
    <row r="40" spans="2:22" s="32" customFormat="1">
      <c r="B40" s="154" t="s">
        <v>658</v>
      </c>
      <c r="C40" s="156"/>
      <c r="D40" s="157"/>
      <c r="E40" s="156"/>
      <c r="F40" s="156"/>
      <c r="G40" s="156"/>
      <c r="H40" s="156"/>
      <c r="I40" s="156"/>
      <c r="J40" s="156"/>
      <c r="K40" s="156"/>
      <c r="L40" s="156"/>
      <c r="M40" s="156"/>
      <c r="N40" s="156"/>
      <c r="O40" s="156"/>
      <c r="P40" s="156"/>
      <c r="Q40" s="156"/>
      <c r="R40" s="156"/>
      <c r="S40" s="156"/>
      <c r="T40" s="156"/>
      <c r="U40" s="156"/>
      <c r="V40" s="156"/>
    </row>
    <row r="41" spans="2:22" s="32" customFormat="1">
      <c r="B41" s="159" t="s">
        <v>651</v>
      </c>
      <c r="C41" s="163" cm="1">
        <f t="array" ref="C41">IF(ISNUMBER(SEARCH("alternative fuel*", C8)), TRANSPOSE('DQ Template'!U$8:U$27), 0)</f>
        <v>0</v>
      </c>
      <c r="D41" s="163"/>
      <c r="E41" s="163"/>
      <c r="F41" s="163"/>
      <c r="G41" s="163"/>
      <c r="H41" s="163"/>
      <c r="I41" s="163"/>
      <c r="J41" s="163"/>
      <c r="K41" s="163"/>
      <c r="L41" s="163"/>
      <c r="M41" s="163"/>
      <c r="N41" s="163"/>
      <c r="O41" s="163"/>
      <c r="P41" s="163"/>
      <c r="Q41" s="163"/>
      <c r="R41" s="163"/>
      <c r="S41" s="163"/>
      <c r="T41" s="163"/>
      <c r="U41" s="163"/>
      <c r="V41" s="163"/>
    </row>
    <row r="42" spans="2:22" s="32" customFormat="1">
      <c r="B42" s="159" t="s">
        <v>652</v>
      </c>
      <c r="C42" s="161">
        <f>IF(C41&lt;&gt;0,(+$G$8*C41*1000000),0)</f>
        <v>0</v>
      </c>
      <c r="D42" s="161">
        <f t="shared" ref="D42:V42" si="9">IF(D41&lt;&gt;0,(+$G$8*D41*1000000),0)</f>
        <v>0</v>
      </c>
      <c r="E42" s="161">
        <f t="shared" si="9"/>
        <v>0</v>
      </c>
      <c r="F42" s="161">
        <f t="shared" si="9"/>
        <v>0</v>
      </c>
      <c r="G42" s="161">
        <f t="shared" si="9"/>
        <v>0</v>
      </c>
      <c r="H42" s="161">
        <f t="shared" si="9"/>
        <v>0</v>
      </c>
      <c r="I42" s="161">
        <f t="shared" si="9"/>
        <v>0</v>
      </c>
      <c r="J42" s="161">
        <f t="shared" si="9"/>
        <v>0</v>
      </c>
      <c r="K42" s="161">
        <f t="shared" si="9"/>
        <v>0</v>
      </c>
      <c r="L42" s="161">
        <f t="shared" si="9"/>
        <v>0</v>
      </c>
      <c r="M42" s="161">
        <f t="shared" si="9"/>
        <v>0</v>
      </c>
      <c r="N42" s="161">
        <f t="shared" si="9"/>
        <v>0</v>
      </c>
      <c r="O42" s="161">
        <f t="shared" si="9"/>
        <v>0</v>
      </c>
      <c r="P42" s="161">
        <f t="shared" si="9"/>
        <v>0</v>
      </c>
      <c r="Q42" s="161">
        <f t="shared" si="9"/>
        <v>0</v>
      </c>
      <c r="R42" s="161">
        <f t="shared" si="9"/>
        <v>0</v>
      </c>
      <c r="S42" s="161">
        <f t="shared" si="9"/>
        <v>0</v>
      </c>
      <c r="T42" s="161">
        <f t="shared" si="9"/>
        <v>0</v>
      </c>
      <c r="U42" s="161">
        <f t="shared" si="9"/>
        <v>0</v>
      </c>
      <c r="V42" s="161">
        <f t="shared" si="9"/>
        <v>0</v>
      </c>
    </row>
    <row r="43" spans="2:22" s="32" customFormat="1">
      <c r="B43" s="159" t="s">
        <v>653</v>
      </c>
      <c r="C43" s="161" t="e">
        <f>+C41*$G$8</f>
        <v>#VALUE!</v>
      </c>
      <c r="D43" s="161" t="e">
        <f t="shared" ref="D43:V43" si="10">+D41*$G$8</f>
        <v>#VALUE!</v>
      </c>
      <c r="E43" s="160" t="e">
        <f t="shared" si="10"/>
        <v>#VALUE!</v>
      </c>
      <c r="F43" s="161" t="e">
        <f t="shared" si="10"/>
        <v>#VALUE!</v>
      </c>
      <c r="G43" s="161" t="e">
        <f t="shared" si="10"/>
        <v>#VALUE!</v>
      </c>
      <c r="H43" s="161" t="e">
        <f t="shared" si="10"/>
        <v>#VALUE!</v>
      </c>
      <c r="I43" s="161" t="e">
        <f t="shared" si="10"/>
        <v>#VALUE!</v>
      </c>
      <c r="J43" s="161" t="e">
        <f t="shared" si="10"/>
        <v>#VALUE!</v>
      </c>
      <c r="K43" s="161" t="e">
        <f t="shared" si="10"/>
        <v>#VALUE!</v>
      </c>
      <c r="L43" s="161" t="e">
        <f t="shared" si="10"/>
        <v>#VALUE!</v>
      </c>
      <c r="M43" s="161" t="e">
        <f t="shared" si="10"/>
        <v>#VALUE!</v>
      </c>
      <c r="N43" s="161" t="e">
        <f t="shared" si="10"/>
        <v>#VALUE!</v>
      </c>
      <c r="O43" s="161" t="e">
        <f t="shared" si="10"/>
        <v>#VALUE!</v>
      </c>
      <c r="P43" s="161" t="e">
        <f t="shared" si="10"/>
        <v>#VALUE!</v>
      </c>
      <c r="Q43" s="161" t="e">
        <f t="shared" si="10"/>
        <v>#VALUE!</v>
      </c>
      <c r="R43" s="161" t="e">
        <f t="shared" si="10"/>
        <v>#VALUE!</v>
      </c>
      <c r="S43" s="161" t="e">
        <f t="shared" si="10"/>
        <v>#VALUE!</v>
      </c>
      <c r="T43" s="161" t="e">
        <f t="shared" si="10"/>
        <v>#VALUE!</v>
      </c>
      <c r="U43" s="161" t="e">
        <f t="shared" si="10"/>
        <v>#VALUE!</v>
      </c>
      <c r="V43" s="161" t="e">
        <f t="shared" si="10"/>
        <v>#VALUE!</v>
      </c>
    </row>
    <row r="44" spans="2:22" s="32" customFormat="1">
      <c r="B44" s="158" t="s">
        <v>654</v>
      </c>
      <c r="C44" s="163" cm="1">
        <f t="array" ref="C44">IF(ISNUMBER(SEARCH("alternative fuel*", C8)), TRANSPOSE('DQ Template'!AA$8:AA$27), 0)</f>
        <v>0</v>
      </c>
      <c r="D44" s="163"/>
      <c r="E44" s="163"/>
      <c r="F44" s="163"/>
      <c r="G44" s="163"/>
      <c r="H44" s="163"/>
      <c r="I44" s="163"/>
      <c r="J44" s="163"/>
      <c r="K44" s="163"/>
      <c r="L44" s="163"/>
      <c r="M44" s="163"/>
      <c r="N44" s="163"/>
      <c r="O44" s="163"/>
      <c r="P44" s="163"/>
      <c r="Q44" s="163"/>
      <c r="R44" s="163"/>
      <c r="S44" s="163"/>
      <c r="T44" s="163"/>
      <c r="U44" s="163"/>
      <c r="V44" s="163"/>
    </row>
    <row r="45" spans="2:22" s="32" customFormat="1">
      <c r="B45" s="158" t="s">
        <v>655</v>
      </c>
      <c r="C45" s="163" t="e">
        <f>+C44*$G$8</f>
        <v>#VALUE!</v>
      </c>
      <c r="D45" s="163" t="e">
        <f t="shared" ref="D45:V45" si="11">+D44*$G$8</f>
        <v>#VALUE!</v>
      </c>
      <c r="E45" s="162" t="e">
        <f t="shared" si="11"/>
        <v>#VALUE!</v>
      </c>
      <c r="F45" s="163" t="e">
        <f t="shared" si="11"/>
        <v>#VALUE!</v>
      </c>
      <c r="G45" s="163" t="e">
        <f t="shared" si="11"/>
        <v>#VALUE!</v>
      </c>
      <c r="H45" s="163" t="e">
        <f t="shared" si="11"/>
        <v>#VALUE!</v>
      </c>
      <c r="I45" s="163" t="e">
        <f t="shared" si="11"/>
        <v>#VALUE!</v>
      </c>
      <c r="J45" s="163" t="e">
        <f t="shared" si="11"/>
        <v>#VALUE!</v>
      </c>
      <c r="K45" s="163" t="e">
        <f t="shared" si="11"/>
        <v>#VALUE!</v>
      </c>
      <c r="L45" s="163" t="e">
        <f t="shared" si="11"/>
        <v>#VALUE!</v>
      </c>
      <c r="M45" s="163" t="e">
        <f t="shared" si="11"/>
        <v>#VALUE!</v>
      </c>
      <c r="N45" s="163" t="e">
        <f t="shared" si="11"/>
        <v>#VALUE!</v>
      </c>
      <c r="O45" s="163" t="e">
        <f t="shared" si="11"/>
        <v>#VALUE!</v>
      </c>
      <c r="P45" s="163" t="e">
        <f t="shared" si="11"/>
        <v>#VALUE!</v>
      </c>
      <c r="Q45" s="163" t="e">
        <f t="shared" si="11"/>
        <v>#VALUE!</v>
      </c>
      <c r="R45" s="163" t="e">
        <f t="shared" si="11"/>
        <v>#VALUE!</v>
      </c>
      <c r="S45" s="163" t="e">
        <f t="shared" si="11"/>
        <v>#VALUE!</v>
      </c>
      <c r="T45" s="163" t="e">
        <f t="shared" si="11"/>
        <v>#VALUE!</v>
      </c>
      <c r="U45" s="163" t="e">
        <f t="shared" si="11"/>
        <v>#VALUE!</v>
      </c>
      <c r="V45" s="163" t="e">
        <f t="shared" si="11"/>
        <v>#VALUE!</v>
      </c>
    </row>
    <row r="46" spans="2:22" s="32" customFormat="1">
      <c r="B46" s="158" t="s">
        <v>629</v>
      </c>
      <c r="C46" s="163" cm="1">
        <f t="array" ref="C46">IF(ISNUMBER(SEARCH("alternative fuel*", C8)), TRANSPOSE('DQ Template'!AE$8:AE$27), 0)</f>
        <v>0</v>
      </c>
      <c r="D46" s="163"/>
      <c r="E46" s="163"/>
      <c r="F46" s="163"/>
      <c r="G46" s="163"/>
      <c r="H46" s="163"/>
      <c r="I46" s="163"/>
      <c r="J46" s="163"/>
      <c r="K46" s="163"/>
      <c r="L46" s="163"/>
      <c r="M46" s="163"/>
      <c r="N46" s="163"/>
      <c r="O46" s="163"/>
      <c r="P46" s="163"/>
      <c r="Q46" s="163"/>
      <c r="R46" s="163"/>
      <c r="S46" s="163"/>
      <c r="T46" s="163"/>
      <c r="U46" s="163"/>
      <c r="V46" s="163"/>
    </row>
    <row r="47" spans="2:22" s="32" customFormat="1">
      <c r="B47" s="171" t="s">
        <v>656</v>
      </c>
      <c r="C47" s="163" t="e">
        <f>+C46*$G$8</f>
        <v>#VALUE!</v>
      </c>
      <c r="D47" s="163" t="e">
        <f t="shared" ref="D47:V47" si="12">+D46*$G$8</f>
        <v>#VALUE!</v>
      </c>
      <c r="E47" s="162" t="e">
        <f t="shared" si="12"/>
        <v>#VALUE!</v>
      </c>
      <c r="F47" s="163" t="e">
        <f t="shared" si="12"/>
        <v>#VALUE!</v>
      </c>
      <c r="G47" s="163" t="e">
        <f t="shared" si="12"/>
        <v>#VALUE!</v>
      </c>
      <c r="H47" s="163" t="e">
        <f t="shared" si="12"/>
        <v>#VALUE!</v>
      </c>
      <c r="I47" s="163" t="e">
        <f t="shared" si="12"/>
        <v>#VALUE!</v>
      </c>
      <c r="J47" s="163" t="e">
        <f t="shared" si="12"/>
        <v>#VALUE!</v>
      </c>
      <c r="K47" s="163" t="e">
        <f t="shared" si="12"/>
        <v>#VALUE!</v>
      </c>
      <c r="L47" s="163" t="e">
        <f t="shared" si="12"/>
        <v>#VALUE!</v>
      </c>
      <c r="M47" s="163" t="e">
        <f t="shared" si="12"/>
        <v>#VALUE!</v>
      </c>
      <c r="N47" s="163" t="e">
        <f t="shared" si="12"/>
        <v>#VALUE!</v>
      </c>
      <c r="O47" s="163" t="e">
        <f t="shared" si="12"/>
        <v>#VALUE!</v>
      </c>
      <c r="P47" s="163" t="e">
        <f t="shared" si="12"/>
        <v>#VALUE!</v>
      </c>
      <c r="Q47" s="163" t="e">
        <f t="shared" si="12"/>
        <v>#VALUE!</v>
      </c>
      <c r="R47" s="163" t="e">
        <f t="shared" si="12"/>
        <v>#VALUE!</v>
      </c>
      <c r="S47" s="163" t="e">
        <f t="shared" si="12"/>
        <v>#VALUE!</v>
      </c>
      <c r="T47" s="163" t="e">
        <f t="shared" si="12"/>
        <v>#VALUE!</v>
      </c>
      <c r="U47" s="163" t="e">
        <f t="shared" si="12"/>
        <v>#VALUE!</v>
      </c>
      <c r="V47" s="163" t="e">
        <f t="shared" si="12"/>
        <v>#VALUE!</v>
      </c>
    </row>
    <row r="48" spans="2:22" s="32" customFormat="1">
      <c r="C48" s="156"/>
      <c r="D48" s="157"/>
      <c r="E48" s="156"/>
      <c r="F48" s="156"/>
      <c r="G48" s="156"/>
      <c r="H48" s="156"/>
      <c r="I48" s="156"/>
      <c r="J48" s="156"/>
      <c r="K48" s="156"/>
      <c r="L48" s="156"/>
      <c r="M48" s="156"/>
      <c r="N48" s="156"/>
      <c r="O48" s="156"/>
      <c r="P48" s="156"/>
      <c r="Q48" s="156"/>
      <c r="R48" s="156"/>
      <c r="S48" s="156"/>
      <c r="T48" s="156"/>
      <c r="U48" s="156"/>
      <c r="V48" s="156"/>
    </row>
    <row r="49" spans="2:22" s="32" customFormat="1">
      <c r="B49" s="154" t="s">
        <v>659</v>
      </c>
      <c r="C49" s="156"/>
      <c r="D49" s="157"/>
      <c r="E49" s="156"/>
      <c r="F49" s="156"/>
      <c r="G49" s="156"/>
      <c r="H49" s="156"/>
      <c r="I49" s="156"/>
      <c r="J49" s="156"/>
      <c r="K49" s="156"/>
      <c r="L49" s="156"/>
      <c r="M49" s="156"/>
      <c r="N49" s="156"/>
      <c r="O49" s="156"/>
      <c r="P49" s="156"/>
      <c r="Q49" s="156"/>
      <c r="R49" s="156"/>
      <c r="S49" s="156"/>
      <c r="T49" s="156"/>
      <c r="U49" s="156"/>
      <c r="V49" s="156"/>
    </row>
    <row r="50" spans="2:22" s="32" customFormat="1">
      <c r="B50" s="159" t="s">
        <v>651</v>
      </c>
      <c r="C50" s="163" cm="1">
        <f t="array" ref="C50">IF(ISNUMBER(SEARCH("alternative fuel*", C9)), TRANSPOSE('DQ Template'!V$8:V$27), 0)</f>
        <v>0</v>
      </c>
      <c r="D50" s="163"/>
      <c r="E50" s="163"/>
      <c r="F50" s="163"/>
      <c r="G50" s="163"/>
      <c r="H50" s="163"/>
      <c r="I50" s="163"/>
      <c r="J50" s="163"/>
      <c r="K50" s="163"/>
      <c r="L50" s="163"/>
      <c r="M50" s="163"/>
      <c r="N50" s="163"/>
      <c r="O50" s="163"/>
      <c r="P50" s="163"/>
      <c r="Q50" s="163"/>
      <c r="R50" s="163"/>
      <c r="S50" s="163"/>
      <c r="T50" s="163"/>
      <c r="U50" s="163"/>
      <c r="V50" s="163"/>
    </row>
    <row r="51" spans="2:22" s="32" customFormat="1">
      <c r="B51" s="159" t="s">
        <v>652</v>
      </c>
      <c r="C51" s="161">
        <f>IF(C50&lt;&gt;0,(+$G$9*C50*1000000),0)</f>
        <v>0</v>
      </c>
      <c r="D51" s="161">
        <f t="shared" ref="D51:V51" si="13">IF(D50&lt;&gt;0,(+$G$9*D50*1000000),0)</f>
        <v>0</v>
      </c>
      <c r="E51" s="161">
        <f t="shared" si="13"/>
        <v>0</v>
      </c>
      <c r="F51" s="161">
        <f t="shared" si="13"/>
        <v>0</v>
      </c>
      <c r="G51" s="161">
        <f t="shared" si="13"/>
        <v>0</v>
      </c>
      <c r="H51" s="161">
        <f t="shared" si="13"/>
        <v>0</v>
      </c>
      <c r="I51" s="161">
        <f t="shared" si="13"/>
        <v>0</v>
      </c>
      <c r="J51" s="161">
        <f t="shared" si="13"/>
        <v>0</v>
      </c>
      <c r="K51" s="161">
        <f t="shared" si="13"/>
        <v>0</v>
      </c>
      <c r="L51" s="161">
        <f t="shared" si="13"/>
        <v>0</v>
      </c>
      <c r="M51" s="161">
        <f t="shared" si="13"/>
        <v>0</v>
      </c>
      <c r="N51" s="161">
        <f t="shared" si="13"/>
        <v>0</v>
      </c>
      <c r="O51" s="161">
        <f t="shared" si="13"/>
        <v>0</v>
      </c>
      <c r="P51" s="161">
        <f t="shared" si="13"/>
        <v>0</v>
      </c>
      <c r="Q51" s="161">
        <f t="shared" si="13"/>
        <v>0</v>
      </c>
      <c r="R51" s="161">
        <f t="shared" si="13"/>
        <v>0</v>
      </c>
      <c r="S51" s="161">
        <f t="shared" si="13"/>
        <v>0</v>
      </c>
      <c r="T51" s="161">
        <f t="shared" si="13"/>
        <v>0</v>
      </c>
      <c r="U51" s="161">
        <f t="shared" si="13"/>
        <v>0</v>
      </c>
      <c r="V51" s="161">
        <f t="shared" si="13"/>
        <v>0</v>
      </c>
    </row>
    <row r="52" spans="2:22" s="32" customFormat="1">
      <c r="B52" s="159" t="s">
        <v>653</v>
      </c>
      <c r="C52" s="161" t="e">
        <f>+C50*$G$9</f>
        <v>#VALUE!</v>
      </c>
      <c r="D52" s="161" t="e">
        <f t="shared" ref="D52:V52" si="14">+D50*$G$9</f>
        <v>#VALUE!</v>
      </c>
      <c r="E52" s="161" t="e">
        <f t="shared" si="14"/>
        <v>#VALUE!</v>
      </c>
      <c r="F52" s="161" t="e">
        <f t="shared" si="14"/>
        <v>#VALUE!</v>
      </c>
      <c r="G52" s="161" t="e">
        <f t="shared" si="14"/>
        <v>#VALUE!</v>
      </c>
      <c r="H52" s="161" t="e">
        <f t="shared" si="14"/>
        <v>#VALUE!</v>
      </c>
      <c r="I52" s="161" t="e">
        <f t="shared" si="14"/>
        <v>#VALUE!</v>
      </c>
      <c r="J52" s="161" t="e">
        <f t="shared" si="14"/>
        <v>#VALUE!</v>
      </c>
      <c r="K52" s="161" t="e">
        <f t="shared" si="14"/>
        <v>#VALUE!</v>
      </c>
      <c r="L52" s="161" t="e">
        <f t="shared" si="14"/>
        <v>#VALUE!</v>
      </c>
      <c r="M52" s="161" t="e">
        <f t="shared" si="14"/>
        <v>#VALUE!</v>
      </c>
      <c r="N52" s="161" t="e">
        <f t="shared" si="14"/>
        <v>#VALUE!</v>
      </c>
      <c r="O52" s="161" t="e">
        <f t="shared" si="14"/>
        <v>#VALUE!</v>
      </c>
      <c r="P52" s="161" t="e">
        <f t="shared" si="14"/>
        <v>#VALUE!</v>
      </c>
      <c r="Q52" s="161" t="e">
        <f t="shared" si="14"/>
        <v>#VALUE!</v>
      </c>
      <c r="R52" s="161" t="e">
        <f t="shared" si="14"/>
        <v>#VALUE!</v>
      </c>
      <c r="S52" s="161" t="e">
        <f t="shared" si="14"/>
        <v>#VALUE!</v>
      </c>
      <c r="T52" s="161" t="e">
        <f t="shared" si="14"/>
        <v>#VALUE!</v>
      </c>
      <c r="U52" s="161" t="e">
        <f t="shared" si="14"/>
        <v>#VALUE!</v>
      </c>
      <c r="V52" s="161" t="e">
        <f t="shared" si="14"/>
        <v>#VALUE!</v>
      </c>
    </row>
    <row r="53" spans="2:22" s="32" customFormat="1">
      <c r="B53" s="158" t="s">
        <v>654</v>
      </c>
      <c r="C53" s="163" cm="1">
        <f t="array" ref="C53">IF(ISNUMBER(SEARCH("alternative fuel*", C9)), TRANSPOSE('DQ Template'!AB$8:AB$27), 0)</f>
        <v>0</v>
      </c>
      <c r="D53" s="163"/>
      <c r="E53" s="163"/>
      <c r="F53" s="163"/>
      <c r="G53" s="163"/>
      <c r="H53" s="163"/>
      <c r="I53" s="163"/>
      <c r="J53" s="163"/>
      <c r="K53" s="163"/>
      <c r="L53" s="163"/>
      <c r="M53" s="163"/>
      <c r="N53" s="163"/>
      <c r="O53" s="163"/>
      <c r="P53" s="163"/>
      <c r="Q53" s="163"/>
      <c r="R53" s="163"/>
      <c r="S53" s="163"/>
      <c r="T53" s="163"/>
      <c r="U53" s="163"/>
      <c r="V53" s="163"/>
    </row>
    <row r="54" spans="2:22" s="32" customFormat="1">
      <c r="B54" s="158" t="s">
        <v>655</v>
      </c>
      <c r="C54" s="163" t="e">
        <f>+C53*$G$9</f>
        <v>#VALUE!</v>
      </c>
      <c r="D54" s="163" t="e">
        <f t="shared" ref="D54:V54" si="15">+D53*$G$9</f>
        <v>#VALUE!</v>
      </c>
      <c r="E54" s="163" t="e">
        <f t="shared" si="15"/>
        <v>#VALUE!</v>
      </c>
      <c r="F54" s="163" t="e">
        <f t="shared" si="15"/>
        <v>#VALUE!</v>
      </c>
      <c r="G54" s="163" t="e">
        <f t="shared" si="15"/>
        <v>#VALUE!</v>
      </c>
      <c r="H54" s="163" t="e">
        <f t="shared" si="15"/>
        <v>#VALUE!</v>
      </c>
      <c r="I54" s="163" t="e">
        <f t="shared" si="15"/>
        <v>#VALUE!</v>
      </c>
      <c r="J54" s="163" t="e">
        <f t="shared" si="15"/>
        <v>#VALUE!</v>
      </c>
      <c r="K54" s="163" t="e">
        <f t="shared" si="15"/>
        <v>#VALUE!</v>
      </c>
      <c r="L54" s="163" t="e">
        <f t="shared" si="15"/>
        <v>#VALUE!</v>
      </c>
      <c r="M54" s="163" t="e">
        <f t="shared" si="15"/>
        <v>#VALUE!</v>
      </c>
      <c r="N54" s="163" t="e">
        <f t="shared" si="15"/>
        <v>#VALUE!</v>
      </c>
      <c r="O54" s="163" t="e">
        <f t="shared" si="15"/>
        <v>#VALUE!</v>
      </c>
      <c r="P54" s="163" t="e">
        <f t="shared" si="15"/>
        <v>#VALUE!</v>
      </c>
      <c r="Q54" s="163" t="e">
        <f t="shared" si="15"/>
        <v>#VALUE!</v>
      </c>
      <c r="R54" s="163" t="e">
        <f t="shared" si="15"/>
        <v>#VALUE!</v>
      </c>
      <c r="S54" s="163" t="e">
        <f t="shared" si="15"/>
        <v>#VALUE!</v>
      </c>
      <c r="T54" s="163" t="e">
        <f t="shared" si="15"/>
        <v>#VALUE!</v>
      </c>
      <c r="U54" s="163" t="e">
        <f t="shared" si="15"/>
        <v>#VALUE!</v>
      </c>
      <c r="V54" s="163" t="e">
        <f t="shared" si="15"/>
        <v>#VALUE!</v>
      </c>
    </row>
    <row r="55" spans="2:22" s="32" customFormat="1">
      <c r="B55" s="158" t="s">
        <v>629</v>
      </c>
      <c r="C55" s="163" cm="1">
        <f t="array" ref="C55">IF(ISNUMBER(SEARCH("alternative fuel*", C9)), TRANSPOSE('DQ Template'!AF$8:AF$27), 0)</f>
        <v>0</v>
      </c>
      <c r="D55" s="163"/>
      <c r="E55" s="163"/>
      <c r="F55" s="163"/>
      <c r="G55" s="163"/>
      <c r="H55" s="163"/>
      <c r="I55" s="163"/>
      <c r="J55" s="163"/>
      <c r="K55" s="163"/>
      <c r="L55" s="163"/>
      <c r="M55" s="163"/>
      <c r="N55" s="163"/>
      <c r="O55" s="163"/>
      <c r="P55" s="163"/>
      <c r="Q55" s="163"/>
      <c r="R55" s="163"/>
      <c r="S55" s="163"/>
      <c r="T55" s="163"/>
      <c r="U55" s="163"/>
      <c r="V55" s="163"/>
    </row>
    <row r="56" spans="2:22" s="56" customFormat="1">
      <c r="B56" s="171" t="s">
        <v>656</v>
      </c>
      <c r="C56" s="163" t="e">
        <f>+C55*$G$9</f>
        <v>#VALUE!</v>
      </c>
      <c r="D56" s="163" t="e">
        <f t="shared" ref="D56:V56" si="16">+D55*$G$9</f>
        <v>#VALUE!</v>
      </c>
      <c r="E56" s="163" t="e">
        <f t="shared" si="16"/>
        <v>#VALUE!</v>
      </c>
      <c r="F56" s="163" t="e">
        <f t="shared" si="16"/>
        <v>#VALUE!</v>
      </c>
      <c r="G56" s="163" t="e">
        <f t="shared" si="16"/>
        <v>#VALUE!</v>
      </c>
      <c r="H56" s="163" t="e">
        <f t="shared" si="16"/>
        <v>#VALUE!</v>
      </c>
      <c r="I56" s="163" t="e">
        <f t="shared" si="16"/>
        <v>#VALUE!</v>
      </c>
      <c r="J56" s="163" t="e">
        <f t="shared" si="16"/>
        <v>#VALUE!</v>
      </c>
      <c r="K56" s="163" t="e">
        <f t="shared" si="16"/>
        <v>#VALUE!</v>
      </c>
      <c r="L56" s="163" t="e">
        <f t="shared" si="16"/>
        <v>#VALUE!</v>
      </c>
      <c r="M56" s="163" t="e">
        <f t="shared" si="16"/>
        <v>#VALUE!</v>
      </c>
      <c r="N56" s="163" t="e">
        <f t="shared" si="16"/>
        <v>#VALUE!</v>
      </c>
      <c r="O56" s="163" t="e">
        <f t="shared" si="16"/>
        <v>#VALUE!</v>
      </c>
      <c r="P56" s="163" t="e">
        <f t="shared" si="16"/>
        <v>#VALUE!</v>
      </c>
      <c r="Q56" s="163" t="e">
        <f t="shared" si="16"/>
        <v>#VALUE!</v>
      </c>
      <c r="R56" s="163" t="e">
        <f t="shared" si="16"/>
        <v>#VALUE!</v>
      </c>
      <c r="S56" s="163" t="e">
        <f t="shared" si="16"/>
        <v>#VALUE!</v>
      </c>
      <c r="T56" s="163" t="e">
        <f t="shared" si="16"/>
        <v>#VALUE!</v>
      </c>
      <c r="U56" s="163" t="e">
        <f t="shared" si="16"/>
        <v>#VALUE!</v>
      </c>
      <c r="V56" s="163" t="e">
        <f t="shared" si="16"/>
        <v>#VALUE!</v>
      </c>
    </row>
    <row r="57" spans="2:22" s="32" customFormat="1">
      <c r="D57" s="153"/>
    </row>
    <row r="58" spans="2:22" s="32" customFormat="1">
      <c r="D58" s="153"/>
    </row>
    <row r="59" spans="2:22" s="32" customFormat="1">
      <c r="D59" s="153"/>
    </row>
    <row r="61" spans="2:22" s="62" customFormat="1">
      <c r="B61" s="62" t="s">
        <v>660</v>
      </c>
      <c r="D61" s="63"/>
    </row>
    <row r="63" spans="2:22">
      <c r="B63" s="33" t="s">
        <v>661</v>
      </c>
      <c r="C63" s="33"/>
      <c r="D63" s="33"/>
      <c r="E63" s="33"/>
    </row>
    <row r="65" spans="2:5">
      <c r="C65" s="57" t="s">
        <v>662</v>
      </c>
      <c r="D65" s="57" t="s">
        <v>663</v>
      </c>
      <c r="E65" s="57" t="s">
        <v>664</v>
      </c>
    </row>
    <row r="66" spans="2:5">
      <c r="B66" s="64" t="s">
        <v>630</v>
      </c>
      <c r="C66" s="65">
        <f>+'DQ Template'!R8</f>
        <v>0</v>
      </c>
      <c r="D66" s="65">
        <f>+'DQ Template'!W8</f>
        <v>0</v>
      </c>
      <c r="E66" s="65">
        <f t="shared" ref="E66:E85" si="17">+D66*C66</f>
        <v>0</v>
      </c>
    </row>
    <row r="67" spans="2:5">
      <c r="B67" s="52" t="s">
        <v>631</v>
      </c>
      <c r="C67" s="66">
        <f>+'DQ Template'!R9</f>
        <v>0</v>
      </c>
      <c r="D67" s="66">
        <f>+'DQ Template'!W9</f>
        <v>0</v>
      </c>
      <c r="E67" s="66">
        <f t="shared" si="17"/>
        <v>0</v>
      </c>
    </row>
    <row r="68" spans="2:5">
      <c r="B68" s="52" t="s">
        <v>632</v>
      </c>
      <c r="C68" s="66">
        <f>+'DQ Template'!R10</f>
        <v>0</v>
      </c>
      <c r="D68" s="66">
        <f>+'DQ Template'!W10</f>
        <v>0</v>
      </c>
      <c r="E68" s="66">
        <f t="shared" si="17"/>
        <v>0</v>
      </c>
    </row>
    <row r="69" spans="2:5">
      <c r="B69" s="52" t="s">
        <v>633</v>
      </c>
      <c r="C69" s="66">
        <f>+'DQ Template'!R11</f>
        <v>0</v>
      </c>
      <c r="D69" s="66">
        <f>+'DQ Template'!W11</f>
        <v>0</v>
      </c>
      <c r="E69" s="66">
        <f t="shared" si="17"/>
        <v>0</v>
      </c>
    </row>
    <row r="70" spans="2:5">
      <c r="B70" s="52" t="s">
        <v>634</v>
      </c>
      <c r="C70" s="66">
        <f>+'DQ Template'!R12</f>
        <v>0</v>
      </c>
      <c r="D70" s="66">
        <f>+'DQ Template'!W12</f>
        <v>0</v>
      </c>
      <c r="E70" s="66">
        <f t="shared" si="17"/>
        <v>0</v>
      </c>
    </row>
    <row r="71" spans="2:5">
      <c r="B71" s="52" t="s">
        <v>635</v>
      </c>
      <c r="C71" s="66">
        <f>+'DQ Template'!R13</f>
        <v>0</v>
      </c>
      <c r="D71" s="66">
        <f>+'DQ Template'!W13</f>
        <v>0</v>
      </c>
      <c r="E71" s="66">
        <f t="shared" si="17"/>
        <v>0</v>
      </c>
    </row>
    <row r="72" spans="2:5">
      <c r="B72" s="52" t="s">
        <v>636</v>
      </c>
      <c r="C72" s="66">
        <f>+'DQ Template'!R14</f>
        <v>0</v>
      </c>
      <c r="D72" s="66">
        <f>+'DQ Template'!W14</f>
        <v>0</v>
      </c>
      <c r="E72" s="66">
        <f t="shared" si="17"/>
        <v>0</v>
      </c>
    </row>
    <row r="73" spans="2:5">
      <c r="B73" s="52" t="s">
        <v>637</v>
      </c>
      <c r="C73" s="66">
        <f>+'DQ Template'!R15</f>
        <v>0</v>
      </c>
      <c r="D73" s="66">
        <f>+'DQ Template'!W15</f>
        <v>0</v>
      </c>
      <c r="E73" s="66">
        <f t="shared" si="17"/>
        <v>0</v>
      </c>
    </row>
    <row r="74" spans="2:5">
      <c r="B74" s="52" t="s">
        <v>638</v>
      </c>
      <c r="C74" s="66">
        <f>+'DQ Template'!R16</f>
        <v>0</v>
      </c>
      <c r="D74" s="66">
        <f>+'DQ Template'!W16</f>
        <v>0</v>
      </c>
      <c r="E74" s="66">
        <f t="shared" si="17"/>
        <v>0</v>
      </c>
    </row>
    <row r="75" spans="2:5">
      <c r="B75" s="52" t="s">
        <v>639</v>
      </c>
      <c r="C75" s="66">
        <f>+'DQ Template'!R17</f>
        <v>0</v>
      </c>
      <c r="D75" s="66">
        <f>+'DQ Template'!W17</f>
        <v>0</v>
      </c>
      <c r="E75" s="66">
        <f t="shared" si="17"/>
        <v>0</v>
      </c>
    </row>
    <row r="76" spans="2:5">
      <c r="B76" s="52" t="s">
        <v>640</v>
      </c>
      <c r="C76" s="66">
        <f>+'DQ Template'!R18</f>
        <v>0</v>
      </c>
      <c r="D76" s="66">
        <f>+'DQ Template'!W18</f>
        <v>0</v>
      </c>
      <c r="E76" s="66">
        <f t="shared" si="17"/>
        <v>0</v>
      </c>
    </row>
    <row r="77" spans="2:5">
      <c r="B77" s="52" t="s">
        <v>641</v>
      </c>
      <c r="C77" s="66">
        <f>+'DQ Template'!R19</f>
        <v>0</v>
      </c>
      <c r="D77" s="66">
        <f>+'DQ Template'!W19</f>
        <v>0</v>
      </c>
      <c r="E77" s="66">
        <f t="shared" si="17"/>
        <v>0</v>
      </c>
    </row>
    <row r="78" spans="2:5">
      <c r="B78" s="52" t="s">
        <v>642</v>
      </c>
      <c r="C78" s="66">
        <f>+'DQ Template'!R20</f>
        <v>0</v>
      </c>
      <c r="D78" s="66">
        <f>+'DQ Template'!W20</f>
        <v>0</v>
      </c>
      <c r="E78" s="66">
        <f t="shared" si="17"/>
        <v>0</v>
      </c>
    </row>
    <row r="79" spans="2:5">
      <c r="B79" s="52" t="s">
        <v>643</v>
      </c>
      <c r="C79" s="66">
        <f>+'DQ Template'!R21</f>
        <v>0</v>
      </c>
      <c r="D79" s="66">
        <f>+'DQ Template'!W21</f>
        <v>0</v>
      </c>
      <c r="E79" s="66">
        <f t="shared" si="17"/>
        <v>0</v>
      </c>
    </row>
    <row r="80" spans="2:5">
      <c r="B80" s="52" t="s">
        <v>644</v>
      </c>
      <c r="C80" s="66">
        <f>+'DQ Template'!R22</f>
        <v>0</v>
      </c>
      <c r="D80" s="66">
        <f>+'DQ Template'!W22</f>
        <v>0</v>
      </c>
      <c r="E80" s="66">
        <f t="shared" si="17"/>
        <v>0</v>
      </c>
    </row>
    <row r="81" spans="2:5">
      <c r="B81" s="52" t="s">
        <v>645</v>
      </c>
      <c r="C81" s="66">
        <f>+'DQ Template'!R23</f>
        <v>0</v>
      </c>
      <c r="D81" s="66">
        <f>+'DQ Template'!W23</f>
        <v>0</v>
      </c>
      <c r="E81" s="66">
        <f t="shared" si="17"/>
        <v>0</v>
      </c>
    </row>
    <row r="82" spans="2:5">
      <c r="B82" s="52" t="s">
        <v>646</v>
      </c>
      <c r="C82" s="66">
        <f>+'DQ Template'!R24</f>
        <v>0</v>
      </c>
      <c r="D82" s="66">
        <f>+'DQ Template'!W24</f>
        <v>0</v>
      </c>
      <c r="E82" s="66">
        <f t="shared" si="17"/>
        <v>0</v>
      </c>
    </row>
    <row r="83" spans="2:5">
      <c r="B83" s="52" t="s">
        <v>647</v>
      </c>
      <c r="C83" s="66">
        <f>+'DQ Template'!R25</f>
        <v>0</v>
      </c>
      <c r="D83" s="66">
        <f>+'DQ Template'!W25</f>
        <v>0</v>
      </c>
      <c r="E83" s="66">
        <f t="shared" si="17"/>
        <v>0</v>
      </c>
    </row>
    <row r="84" spans="2:5">
      <c r="B84" s="52" t="s">
        <v>648</v>
      </c>
      <c r="C84" s="66">
        <f>+'DQ Template'!R26</f>
        <v>0</v>
      </c>
      <c r="D84" s="66">
        <f>+'DQ Template'!W26</f>
        <v>0</v>
      </c>
      <c r="E84" s="66">
        <f t="shared" si="17"/>
        <v>0</v>
      </c>
    </row>
    <row r="85" spans="2:5">
      <c r="B85" s="52" t="s">
        <v>649</v>
      </c>
      <c r="C85" s="66">
        <f>+'DQ Template'!R27</f>
        <v>0</v>
      </c>
      <c r="D85" s="66">
        <f>+'DQ Template'!W27</f>
        <v>0</v>
      </c>
      <c r="E85" s="66">
        <f t="shared" si="17"/>
        <v>0</v>
      </c>
    </row>
    <row r="86" spans="2:5">
      <c r="B86" s="67" t="s">
        <v>665</v>
      </c>
      <c r="C86" s="68">
        <f>+SUM(C66:C85)</f>
        <v>0</v>
      </c>
      <c r="D86" s="68">
        <f>+SUM(D66:D85)</f>
        <v>0</v>
      </c>
      <c r="E86" s="68">
        <f>+SUM(E66:E85)</f>
        <v>0</v>
      </c>
    </row>
    <row r="88" spans="2:5">
      <c r="B88" s="33" t="s">
        <v>666</v>
      </c>
      <c r="C88" s="33"/>
      <c r="D88" s="33"/>
      <c r="E88" s="33"/>
    </row>
    <row r="90" spans="2:5">
      <c r="C90" s="69" t="s">
        <v>667</v>
      </c>
      <c r="D90" s="46" t="s">
        <v>668</v>
      </c>
    </row>
    <row r="91" spans="2:5">
      <c r="B91" s="31" t="str">
        <f>+B6</f>
        <v>Fuel Type 1</v>
      </c>
      <c r="C91" s="173" t="e">
        <f>+G6*SUM('DQ Template'!S8:S27)</f>
        <v>#VALUE!</v>
      </c>
      <c r="D91" s="70" t="e">
        <f>+C91/$C$95</f>
        <v>#VALUE!</v>
      </c>
    </row>
    <row r="92" spans="2:5">
      <c r="B92" s="31" t="str">
        <f t="shared" ref="B92:B94" si="18">+B7</f>
        <v>Fuel Type 2</v>
      </c>
      <c r="C92" s="173" t="e">
        <f>+G7*SUM('DQ Template'!T8:T27)</f>
        <v>#VALUE!</v>
      </c>
      <c r="D92" s="70" t="e">
        <f>+C92/$C$95</f>
        <v>#VALUE!</v>
      </c>
    </row>
    <row r="93" spans="2:5">
      <c r="B93" s="31" t="str">
        <f t="shared" si="18"/>
        <v>Fuel Type 3</v>
      </c>
      <c r="C93" s="173" t="e">
        <f>+G8*SUM('DQ Template'!U8:U27)</f>
        <v>#VALUE!</v>
      </c>
      <c r="D93" s="70" t="e">
        <f>+C93/$C$95</f>
        <v>#VALUE!</v>
      </c>
    </row>
    <row r="94" spans="2:5">
      <c r="B94" s="31" t="str">
        <f t="shared" si="18"/>
        <v>Fuel Type 4</v>
      </c>
      <c r="C94" s="173" t="e">
        <f>+G9*SUM('DQ Template'!V8:V27)</f>
        <v>#VALUE!</v>
      </c>
      <c r="D94" s="70" t="e">
        <f>+C94/$C$95</f>
        <v>#VALUE!</v>
      </c>
    </row>
    <row r="95" spans="2:5">
      <c r="B95" s="71" t="s">
        <v>669</v>
      </c>
      <c r="C95" s="174" t="e">
        <f>+SUM(C91:C94)</f>
        <v>#VALUE!</v>
      </c>
      <c r="D95" s="345" t="e">
        <f>+SUM(D91:D94)</f>
        <v>#VALUE!</v>
      </c>
      <c r="E95" s="37"/>
    </row>
    <row r="101" spans="2:7" s="62" customFormat="1">
      <c r="B101" s="62" t="s">
        <v>670</v>
      </c>
    </row>
    <row r="103" spans="2:7">
      <c r="C103" s="31" t="s">
        <v>671</v>
      </c>
      <c r="E103" s="31" t="s">
        <v>672</v>
      </c>
      <c r="G103" s="31" t="s">
        <v>673</v>
      </c>
    </row>
    <row r="104" spans="2:7">
      <c r="C104" s="31" t="b">
        <f>IF(COUNTIFS(C119:F138,"&lt;0")=0,TRUE,FALSE)</f>
        <v>1</v>
      </c>
      <c r="E104" s="31" t="b">
        <f>IF(COUNTIFS(H168:H187,FALSE)=0,TRUE,FALSE)</f>
        <v>1</v>
      </c>
      <c r="G104" s="31" t="b">
        <f>IF(COUNTIFS(K168:K187,FALSE)=0,TRUE,FALSE)</f>
        <v>1</v>
      </c>
    </row>
    <row r="106" spans="2:7">
      <c r="C106" s="31" t="s">
        <v>674</v>
      </c>
      <c r="E106" s="31" t="s">
        <v>675</v>
      </c>
    </row>
    <row r="107" spans="2:7">
      <c r="C107" s="31" t="b">
        <f ca="1">IF(COUNTIFS(C168:C187,FALSE)=0,TRUE,FALSE)</f>
        <v>1</v>
      </c>
      <c r="E107" s="31" t="b">
        <f ca="1">IF(COUNTIFS(D168:D187,FALSE)=0,TRUE,FALSE)</f>
        <v>1</v>
      </c>
    </row>
    <row r="109" spans="2:7">
      <c r="C109" s="31" t="s">
        <v>676</v>
      </c>
      <c r="E109" s="31" t="s">
        <v>677</v>
      </c>
    </row>
    <row r="110" spans="2:7">
      <c r="C110" s="31" t="b">
        <f>IF(COUNTIFS(C194:C213,"&lt;0")=0,TRUE,FALSE)</f>
        <v>1</v>
      </c>
      <c r="E110" s="31" t="b">
        <f>IF(COUNTIFS(D194:D213,"&lt;0")=0,TRUE,FALSE)</f>
        <v>1</v>
      </c>
    </row>
    <row r="112" spans="2:7">
      <c r="C112" s="31" t="s">
        <v>678</v>
      </c>
    </row>
    <row r="113" spans="2:6">
      <c r="C113" s="31" t="b">
        <f>IF(COUNTIFS(C244:C262,"&lt;0")=0,TRUE,FALSE)</f>
        <v>1</v>
      </c>
    </row>
    <row r="115" spans="2:6" s="62" customFormat="1">
      <c r="B115" s="62" t="s">
        <v>679</v>
      </c>
    </row>
    <row r="117" spans="2:6">
      <c r="C117" s="31" t="s">
        <v>680</v>
      </c>
    </row>
    <row r="118" spans="2:6">
      <c r="B118" s="31" t="s">
        <v>117</v>
      </c>
      <c r="C118" s="31" t="s">
        <v>681</v>
      </c>
      <c r="D118" s="31" t="s">
        <v>682</v>
      </c>
      <c r="E118" s="31" t="s">
        <v>683</v>
      </c>
      <c r="F118" s="31" t="s">
        <v>684</v>
      </c>
    </row>
    <row r="119" spans="2:6">
      <c r="B119" s="31">
        <v>1</v>
      </c>
      <c r="C119" s="31">
        <f>'DQ Template'!S8</f>
        <v>0</v>
      </c>
      <c r="D119" s="31">
        <f>'DQ Template'!T8</f>
        <v>0</v>
      </c>
      <c r="E119" s="31">
        <f>'DQ Template'!U8</f>
        <v>0</v>
      </c>
      <c r="F119" s="31">
        <f>'DQ Template'!V8</f>
        <v>0</v>
      </c>
    </row>
    <row r="120" spans="2:6">
      <c r="B120" s="31">
        <v>2</v>
      </c>
      <c r="C120" s="31">
        <f>'DQ Template'!S9</f>
        <v>0</v>
      </c>
      <c r="D120" s="31">
        <f>'DQ Template'!T9</f>
        <v>0</v>
      </c>
      <c r="E120" s="31">
        <f>'DQ Template'!U9</f>
        <v>0</v>
      </c>
      <c r="F120" s="31">
        <f>'DQ Template'!V9</f>
        <v>0</v>
      </c>
    </row>
    <row r="121" spans="2:6">
      <c r="B121" s="31">
        <v>3</v>
      </c>
      <c r="C121" s="31">
        <f>'DQ Template'!S10</f>
        <v>0</v>
      </c>
      <c r="D121" s="31">
        <f>'DQ Template'!T10</f>
        <v>0</v>
      </c>
      <c r="E121" s="31">
        <f>'DQ Template'!U10</f>
        <v>0</v>
      </c>
      <c r="F121" s="31">
        <f>'DQ Template'!V10</f>
        <v>0</v>
      </c>
    </row>
    <row r="122" spans="2:6">
      <c r="B122" s="31">
        <v>4</v>
      </c>
      <c r="C122" s="31">
        <f>'DQ Template'!S11</f>
        <v>0</v>
      </c>
      <c r="D122" s="31">
        <f>'DQ Template'!T11</f>
        <v>0</v>
      </c>
      <c r="E122" s="31">
        <f>'DQ Template'!U11</f>
        <v>0</v>
      </c>
      <c r="F122" s="31">
        <f>'DQ Template'!V11</f>
        <v>0</v>
      </c>
    </row>
    <row r="123" spans="2:6">
      <c r="B123" s="31">
        <v>5</v>
      </c>
      <c r="C123" s="31">
        <f>'DQ Template'!S12</f>
        <v>0</v>
      </c>
      <c r="D123" s="31">
        <f>'DQ Template'!T12</f>
        <v>0</v>
      </c>
      <c r="E123" s="31">
        <f>'DQ Template'!U12</f>
        <v>0</v>
      </c>
      <c r="F123" s="31">
        <f>'DQ Template'!V12</f>
        <v>0</v>
      </c>
    </row>
    <row r="124" spans="2:6">
      <c r="B124" s="31">
        <v>6</v>
      </c>
      <c r="C124" s="31">
        <f>'DQ Template'!S13</f>
        <v>0</v>
      </c>
      <c r="D124" s="31">
        <f>'DQ Template'!T13</f>
        <v>0</v>
      </c>
      <c r="E124" s="31">
        <f>'DQ Template'!U13</f>
        <v>0</v>
      </c>
      <c r="F124" s="31">
        <f>'DQ Template'!V13</f>
        <v>0</v>
      </c>
    </row>
    <row r="125" spans="2:6">
      <c r="B125" s="31">
        <v>7</v>
      </c>
      <c r="C125" s="31">
        <f>'DQ Template'!S14</f>
        <v>0</v>
      </c>
      <c r="D125" s="31">
        <f>'DQ Template'!T14</f>
        <v>0</v>
      </c>
      <c r="E125" s="31">
        <f>'DQ Template'!U14</f>
        <v>0</v>
      </c>
      <c r="F125" s="31">
        <f>'DQ Template'!V14</f>
        <v>0</v>
      </c>
    </row>
    <row r="126" spans="2:6">
      <c r="B126" s="31">
        <v>8</v>
      </c>
      <c r="C126" s="31">
        <f>'DQ Template'!S15</f>
        <v>0</v>
      </c>
      <c r="D126" s="31">
        <f>'DQ Template'!T15</f>
        <v>0</v>
      </c>
      <c r="E126" s="31">
        <f>'DQ Template'!U15</f>
        <v>0</v>
      </c>
      <c r="F126" s="31">
        <f>'DQ Template'!V15</f>
        <v>0</v>
      </c>
    </row>
    <row r="127" spans="2:6">
      <c r="B127" s="31">
        <v>9</v>
      </c>
      <c r="C127" s="31">
        <f>'DQ Template'!S16</f>
        <v>0</v>
      </c>
      <c r="D127" s="31">
        <f>'DQ Template'!T16</f>
        <v>0</v>
      </c>
      <c r="E127" s="31">
        <f>'DQ Template'!U16</f>
        <v>0</v>
      </c>
      <c r="F127" s="31">
        <f>'DQ Template'!V16</f>
        <v>0</v>
      </c>
    </row>
    <row r="128" spans="2:6">
      <c r="B128" s="31">
        <v>10</v>
      </c>
      <c r="C128" s="31">
        <f>'DQ Template'!S17</f>
        <v>0</v>
      </c>
      <c r="D128" s="31">
        <f>'DQ Template'!T17</f>
        <v>0</v>
      </c>
      <c r="E128" s="31">
        <f>'DQ Template'!U17</f>
        <v>0</v>
      </c>
      <c r="F128" s="31">
        <f>'DQ Template'!V17</f>
        <v>0</v>
      </c>
    </row>
    <row r="129" spans="2:6">
      <c r="B129" s="31">
        <v>11</v>
      </c>
      <c r="C129" s="31">
        <f>'DQ Template'!S18</f>
        <v>0</v>
      </c>
      <c r="D129" s="31">
        <f>'DQ Template'!T18</f>
        <v>0</v>
      </c>
      <c r="E129" s="31">
        <f>'DQ Template'!U18</f>
        <v>0</v>
      </c>
      <c r="F129" s="31">
        <f>'DQ Template'!V18</f>
        <v>0</v>
      </c>
    </row>
    <row r="130" spans="2:6">
      <c r="B130" s="31">
        <v>12</v>
      </c>
      <c r="C130" s="31">
        <f>'DQ Template'!S19</f>
        <v>0</v>
      </c>
      <c r="D130" s="31">
        <f>'DQ Template'!T19</f>
        <v>0</v>
      </c>
      <c r="E130" s="31">
        <f>'DQ Template'!U19</f>
        <v>0</v>
      </c>
      <c r="F130" s="31">
        <f>'DQ Template'!V19</f>
        <v>0</v>
      </c>
    </row>
    <row r="131" spans="2:6">
      <c r="B131" s="31">
        <v>13</v>
      </c>
      <c r="C131" s="31">
        <f>'DQ Template'!S20</f>
        <v>0</v>
      </c>
      <c r="D131" s="31">
        <f>'DQ Template'!T20</f>
        <v>0</v>
      </c>
      <c r="E131" s="31">
        <f>'DQ Template'!U20</f>
        <v>0</v>
      </c>
      <c r="F131" s="31">
        <f>'DQ Template'!V20</f>
        <v>0</v>
      </c>
    </row>
    <row r="132" spans="2:6">
      <c r="B132" s="31">
        <v>14</v>
      </c>
      <c r="C132" s="31">
        <f>'DQ Template'!S21</f>
        <v>0</v>
      </c>
      <c r="D132" s="31">
        <f>'DQ Template'!T21</f>
        <v>0</v>
      </c>
      <c r="E132" s="31">
        <f>'DQ Template'!U21</f>
        <v>0</v>
      </c>
      <c r="F132" s="31">
        <f>'DQ Template'!V21</f>
        <v>0</v>
      </c>
    </row>
    <row r="133" spans="2:6">
      <c r="B133" s="31">
        <v>15</v>
      </c>
      <c r="C133" s="31">
        <f>'DQ Template'!S22</f>
        <v>0</v>
      </c>
      <c r="D133" s="31">
        <f>'DQ Template'!T22</f>
        <v>0</v>
      </c>
      <c r="E133" s="31">
        <f>'DQ Template'!U22</f>
        <v>0</v>
      </c>
      <c r="F133" s="31">
        <f>'DQ Template'!V22</f>
        <v>0</v>
      </c>
    </row>
    <row r="134" spans="2:6">
      <c r="B134" s="31">
        <v>16</v>
      </c>
      <c r="C134" s="31">
        <f>'DQ Template'!S23</f>
        <v>0</v>
      </c>
      <c r="D134" s="31">
        <f>'DQ Template'!T23</f>
        <v>0</v>
      </c>
      <c r="E134" s="31">
        <f>'DQ Template'!U23</f>
        <v>0</v>
      </c>
      <c r="F134" s="31">
        <f>'DQ Template'!V23</f>
        <v>0</v>
      </c>
    </row>
    <row r="135" spans="2:6">
      <c r="B135" s="31">
        <v>17</v>
      </c>
      <c r="C135" s="31">
        <f>'DQ Template'!S24</f>
        <v>0</v>
      </c>
      <c r="D135" s="31">
        <f>'DQ Template'!T24</f>
        <v>0</v>
      </c>
      <c r="E135" s="31">
        <f>'DQ Template'!U24</f>
        <v>0</v>
      </c>
      <c r="F135" s="31">
        <f>'DQ Template'!V24</f>
        <v>0</v>
      </c>
    </row>
    <row r="136" spans="2:6">
      <c r="B136" s="31">
        <v>18</v>
      </c>
      <c r="C136" s="31">
        <f>'DQ Template'!S25</f>
        <v>0</v>
      </c>
      <c r="D136" s="31">
        <f>'DQ Template'!T25</f>
        <v>0</v>
      </c>
      <c r="E136" s="31">
        <f>'DQ Template'!U25</f>
        <v>0</v>
      </c>
      <c r="F136" s="31">
        <f>'DQ Template'!V25</f>
        <v>0</v>
      </c>
    </row>
    <row r="137" spans="2:6">
      <c r="B137" s="31">
        <v>19</v>
      </c>
      <c r="C137" s="31">
        <f>'DQ Template'!S26</f>
        <v>0</v>
      </c>
      <c r="D137" s="31">
        <f>'DQ Template'!T26</f>
        <v>0</v>
      </c>
      <c r="E137" s="31">
        <f>'DQ Template'!U26</f>
        <v>0</v>
      </c>
      <c r="F137" s="31">
        <f>'DQ Template'!V26</f>
        <v>0</v>
      </c>
    </row>
    <row r="138" spans="2:6">
      <c r="B138" s="31">
        <v>20</v>
      </c>
      <c r="C138" s="31">
        <f>'DQ Template'!S27</f>
        <v>0</v>
      </c>
      <c r="D138" s="31">
        <f>'DQ Template'!T27</f>
        <v>0</v>
      </c>
      <c r="E138" s="31">
        <f>'DQ Template'!U27</f>
        <v>0</v>
      </c>
      <c r="F138" s="31">
        <f>'DQ Template'!V27</f>
        <v>0</v>
      </c>
    </row>
    <row r="141" spans="2:6" s="62" customFormat="1">
      <c r="B141" s="62" t="s">
        <v>685</v>
      </c>
    </row>
    <row r="143" spans="2:6">
      <c r="C143" s="31" t="s">
        <v>686</v>
      </c>
    </row>
    <row r="144" spans="2:6">
      <c r="B144" s="31" t="s">
        <v>117</v>
      </c>
      <c r="C144" s="31" t="s">
        <v>687</v>
      </c>
      <c r="D144" s="31" t="s">
        <v>688</v>
      </c>
    </row>
    <row r="145" spans="2:5">
      <c r="B145" s="31">
        <v>1</v>
      </c>
      <c r="C145" s="72">
        <f>'DQ Template'!M8</f>
        <v>0</v>
      </c>
      <c r="D145" s="72">
        <f>'DQ Template'!O8</f>
        <v>0</v>
      </c>
      <c r="E145" s="72"/>
    </row>
    <row r="146" spans="2:5">
      <c r="B146" s="31">
        <v>2</v>
      </c>
      <c r="C146" s="72">
        <f>'DQ Template'!M9</f>
        <v>0</v>
      </c>
      <c r="D146" s="72">
        <f>'DQ Template'!O9</f>
        <v>0</v>
      </c>
      <c r="E146" s="72"/>
    </row>
    <row r="147" spans="2:5">
      <c r="B147" s="31">
        <v>3</v>
      </c>
      <c r="C147" s="72">
        <f>'DQ Template'!M10</f>
        <v>0</v>
      </c>
      <c r="D147" s="72">
        <f>'DQ Template'!O10</f>
        <v>0</v>
      </c>
      <c r="E147" s="72"/>
    </row>
    <row r="148" spans="2:5">
      <c r="B148" s="31">
        <v>4</v>
      </c>
      <c r="C148" s="72">
        <f>'DQ Template'!M11</f>
        <v>0</v>
      </c>
      <c r="D148" s="72">
        <f>'DQ Template'!O11</f>
        <v>0</v>
      </c>
      <c r="E148" s="72"/>
    </row>
    <row r="149" spans="2:5">
      <c r="B149" s="31">
        <v>5</v>
      </c>
      <c r="C149" s="72">
        <f>'DQ Template'!M12</f>
        <v>0</v>
      </c>
      <c r="D149" s="72">
        <f>'DQ Template'!O12</f>
        <v>0</v>
      </c>
      <c r="E149" s="72"/>
    </row>
    <row r="150" spans="2:5">
      <c r="B150" s="31">
        <v>6</v>
      </c>
      <c r="C150" s="72">
        <f>'DQ Template'!M13</f>
        <v>0</v>
      </c>
      <c r="D150" s="72">
        <f>'DQ Template'!O13</f>
        <v>0</v>
      </c>
      <c r="E150" s="72"/>
    </row>
    <row r="151" spans="2:5">
      <c r="B151" s="31">
        <v>7</v>
      </c>
      <c r="C151" s="72">
        <f>'DQ Template'!M14</f>
        <v>0</v>
      </c>
      <c r="D151" s="72">
        <f>'DQ Template'!O14</f>
        <v>0</v>
      </c>
      <c r="E151" s="72"/>
    </row>
    <row r="152" spans="2:5">
      <c r="B152" s="31">
        <v>8</v>
      </c>
      <c r="C152" s="72">
        <f>'DQ Template'!M15</f>
        <v>0</v>
      </c>
      <c r="D152" s="72">
        <f>'DQ Template'!O15</f>
        <v>0</v>
      </c>
      <c r="E152" s="72"/>
    </row>
    <row r="153" spans="2:5">
      <c r="B153" s="31">
        <v>9</v>
      </c>
      <c r="C153" s="72">
        <f>'DQ Template'!M16</f>
        <v>0</v>
      </c>
      <c r="D153" s="72">
        <f>'DQ Template'!O16</f>
        <v>0</v>
      </c>
      <c r="E153" s="72"/>
    </row>
    <row r="154" spans="2:5">
      <c r="B154" s="31">
        <v>10</v>
      </c>
      <c r="C154" s="72">
        <f>'DQ Template'!M17</f>
        <v>0</v>
      </c>
      <c r="D154" s="72">
        <f>'DQ Template'!O17</f>
        <v>0</v>
      </c>
      <c r="E154" s="72"/>
    </row>
    <row r="155" spans="2:5">
      <c r="B155" s="31">
        <v>11</v>
      </c>
      <c r="C155" s="72">
        <f>'DQ Template'!M18</f>
        <v>0</v>
      </c>
      <c r="D155" s="72">
        <f>'DQ Template'!O18</f>
        <v>0</v>
      </c>
      <c r="E155" s="72"/>
    </row>
    <row r="156" spans="2:5">
      <c r="B156" s="31">
        <v>12</v>
      </c>
      <c r="C156" s="72">
        <f>'DQ Template'!M19</f>
        <v>0</v>
      </c>
      <c r="D156" s="72">
        <f>'DQ Template'!O19</f>
        <v>0</v>
      </c>
      <c r="E156" s="72"/>
    </row>
    <row r="157" spans="2:5">
      <c r="B157" s="31">
        <v>13</v>
      </c>
      <c r="C157" s="72">
        <f>'DQ Template'!M20</f>
        <v>0</v>
      </c>
      <c r="D157" s="72">
        <f>'DQ Template'!O20</f>
        <v>0</v>
      </c>
      <c r="E157" s="72"/>
    </row>
    <row r="158" spans="2:5">
      <c r="B158" s="31">
        <v>14</v>
      </c>
      <c r="C158" s="72">
        <f>'DQ Template'!M21</f>
        <v>0</v>
      </c>
      <c r="D158" s="72">
        <f>'DQ Template'!O21</f>
        <v>0</v>
      </c>
      <c r="E158" s="72"/>
    </row>
    <row r="159" spans="2:5">
      <c r="B159" s="31">
        <v>15</v>
      </c>
      <c r="C159" s="72">
        <f>'DQ Template'!M22</f>
        <v>0</v>
      </c>
      <c r="D159" s="72">
        <f>'DQ Template'!O22</f>
        <v>0</v>
      </c>
      <c r="E159" s="72"/>
    </row>
    <row r="160" spans="2:5">
      <c r="B160" s="31">
        <v>16</v>
      </c>
      <c r="C160" s="72">
        <f>'DQ Template'!M23</f>
        <v>0</v>
      </c>
      <c r="D160" s="72">
        <f>'DQ Template'!O23</f>
        <v>0</v>
      </c>
      <c r="E160" s="72"/>
    </row>
    <row r="161" spans="2:11">
      <c r="B161" s="31">
        <v>17</v>
      </c>
      <c r="C161" s="72">
        <f>'DQ Template'!M24</f>
        <v>0</v>
      </c>
      <c r="D161" s="72">
        <f>'DQ Template'!O24</f>
        <v>0</v>
      </c>
      <c r="E161" s="72"/>
    </row>
    <row r="162" spans="2:11">
      <c r="B162" s="31">
        <v>18</v>
      </c>
      <c r="C162" s="72">
        <f>'DQ Template'!M25</f>
        <v>0</v>
      </c>
      <c r="D162" s="72">
        <f>'DQ Template'!O25</f>
        <v>0</v>
      </c>
      <c r="E162" s="72"/>
    </row>
    <row r="163" spans="2:11">
      <c r="B163" s="31">
        <v>19</v>
      </c>
      <c r="C163" s="72">
        <f>'DQ Template'!M26</f>
        <v>0</v>
      </c>
      <c r="D163" s="72">
        <f>'DQ Template'!O26</f>
        <v>0</v>
      </c>
      <c r="E163" s="72"/>
    </row>
    <row r="164" spans="2:11">
      <c r="B164" s="31">
        <v>20</v>
      </c>
      <c r="C164" s="72">
        <f>'DQ Template'!M27</f>
        <v>0</v>
      </c>
      <c r="D164" s="72">
        <f>'DQ Template'!O27</f>
        <v>0</v>
      </c>
      <c r="E164" s="72"/>
    </row>
    <row r="166" spans="2:11">
      <c r="C166" s="31" t="s">
        <v>689</v>
      </c>
      <c r="H166" s="31" t="s">
        <v>690</v>
      </c>
      <c r="J166" s="31" t="s">
        <v>691</v>
      </c>
    </row>
    <row r="167" spans="2:11">
      <c r="B167" s="31" t="s">
        <v>117</v>
      </c>
      <c r="C167" s="31" t="s">
        <v>687</v>
      </c>
      <c r="D167" s="31" t="s">
        <v>688</v>
      </c>
      <c r="G167" s="73" t="s">
        <v>117</v>
      </c>
      <c r="H167" s="74"/>
      <c r="J167" s="31" t="s">
        <v>117</v>
      </c>
    </row>
    <row r="168" spans="2:11">
      <c r="B168" s="31">
        <v>1</v>
      </c>
      <c r="C168" s="31" t="e" cm="1">
        <f t="array" aca="1" ref="C168" ca="1">CELL("format",C145)="D1"</f>
        <v>#VALUE!</v>
      </c>
      <c r="D168" s="31" t="e" cm="1">
        <f t="array" aca="1" ref="D168" ca="1">CELL("format",D145)="D1"</f>
        <v>#VALUE!</v>
      </c>
      <c r="G168" s="31">
        <v>1</v>
      </c>
      <c r="H168" s="31" t="b">
        <f t="shared" ref="H168:H187" si="19">IF(C145&gt;0,D145&gt;=C145,TRUE)</f>
        <v>1</v>
      </c>
      <c r="J168" s="31">
        <v>1</v>
      </c>
    </row>
    <row r="169" spans="2:11">
      <c r="B169" s="31">
        <v>2</v>
      </c>
      <c r="C169" s="31" t="e" cm="1">
        <f t="array" aca="1" ref="C169" ca="1">CELL("format",C146)="D1"</f>
        <v>#VALUE!</v>
      </c>
      <c r="D169" s="31" t="e" cm="1">
        <f t="array" aca="1" ref="D169" ca="1">CELL("format",D146)="D1"</f>
        <v>#VALUE!</v>
      </c>
      <c r="G169" s="31">
        <v>2</v>
      </c>
      <c r="H169" s="31" t="b">
        <f t="shared" si="19"/>
        <v>1</v>
      </c>
      <c r="J169" s="31">
        <v>2</v>
      </c>
      <c r="K169" s="31" t="b">
        <f t="shared" ref="K169:K187" si="20">IF(C146&gt;0,C146&gt;=D145,TRUE)</f>
        <v>1</v>
      </c>
    </row>
    <row r="170" spans="2:11">
      <c r="B170" s="31">
        <v>3</v>
      </c>
      <c r="C170" s="31" t="e" cm="1">
        <f t="array" aca="1" ref="C170" ca="1">CELL("format",C147)="D1"</f>
        <v>#VALUE!</v>
      </c>
      <c r="D170" s="31" t="e" cm="1">
        <f t="array" aca="1" ref="D170" ca="1">CELL("format",D147)="D1"</f>
        <v>#VALUE!</v>
      </c>
      <c r="G170" s="31">
        <v>3</v>
      </c>
      <c r="H170" s="31" t="b">
        <f t="shared" si="19"/>
        <v>1</v>
      </c>
      <c r="J170" s="31">
        <v>3</v>
      </c>
      <c r="K170" s="31" t="b">
        <f t="shared" si="20"/>
        <v>1</v>
      </c>
    </row>
    <row r="171" spans="2:11">
      <c r="B171" s="31">
        <v>4</v>
      </c>
      <c r="C171" s="31" t="e" cm="1">
        <f t="array" aca="1" ref="C171" ca="1">CELL("format",C148)="D1"</f>
        <v>#VALUE!</v>
      </c>
      <c r="D171" s="31" t="e" cm="1">
        <f t="array" aca="1" ref="D171" ca="1">CELL("format",D148)="D1"</f>
        <v>#VALUE!</v>
      </c>
      <c r="G171" s="31">
        <v>4</v>
      </c>
      <c r="H171" s="31" t="b">
        <f t="shared" si="19"/>
        <v>1</v>
      </c>
      <c r="J171" s="31">
        <v>4</v>
      </c>
      <c r="K171" s="31" t="b">
        <f t="shared" si="20"/>
        <v>1</v>
      </c>
    </row>
    <row r="172" spans="2:11">
      <c r="B172" s="31">
        <v>5</v>
      </c>
      <c r="C172" s="31" t="e" cm="1">
        <f t="array" aca="1" ref="C172" ca="1">CELL("format",C149)="D1"</f>
        <v>#VALUE!</v>
      </c>
      <c r="D172" s="31" t="e" cm="1">
        <f t="array" aca="1" ref="D172" ca="1">CELL("format",D149)="D1"</f>
        <v>#VALUE!</v>
      </c>
      <c r="G172" s="31">
        <v>5</v>
      </c>
      <c r="H172" s="31" t="b">
        <f t="shared" si="19"/>
        <v>1</v>
      </c>
      <c r="J172" s="31">
        <v>5</v>
      </c>
      <c r="K172" s="31" t="b">
        <f t="shared" si="20"/>
        <v>1</v>
      </c>
    </row>
    <row r="173" spans="2:11">
      <c r="B173" s="31">
        <v>6</v>
      </c>
      <c r="C173" s="31" t="e" cm="1">
        <f t="array" aca="1" ref="C173" ca="1">CELL("format",C150)="D1"</f>
        <v>#VALUE!</v>
      </c>
      <c r="D173" s="31" t="e" cm="1">
        <f t="array" aca="1" ref="D173" ca="1">CELL("format",D150)="D1"</f>
        <v>#VALUE!</v>
      </c>
      <c r="G173" s="31">
        <v>6</v>
      </c>
      <c r="H173" s="31" t="b">
        <f t="shared" si="19"/>
        <v>1</v>
      </c>
      <c r="J173" s="31">
        <v>6</v>
      </c>
      <c r="K173" s="31" t="b">
        <f t="shared" si="20"/>
        <v>1</v>
      </c>
    </row>
    <row r="174" spans="2:11">
      <c r="B174" s="31">
        <v>7</v>
      </c>
      <c r="C174" s="31" t="e" cm="1">
        <f t="array" aca="1" ref="C174" ca="1">CELL("format",C151)="D1"</f>
        <v>#VALUE!</v>
      </c>
      <c r="D174" s="31" t="e" cm="1">
        <f t="array" aca="1" ref="D174" ca="1">CELL("format",D151)="D1"</f>
        <v>#VALUE!</v>
      </c>
      <c r="G174" s="31">
        <v>7</v>
      </c>
      <c r="H174" s="31" t="b">
        <f t="shared" si="19"/>
        <v>1</v>
      </c>
      <c r="J174" s="31">
        <v>7</v>
      </c>
      <c r="K174" s="31" t="b">
        <f t="shared" si="20"/>
        <v>1</v>
      </c>
    </row>
    <row r="175" spans="2:11">
      <c r="B175" s="31">
        <v>8</v>
      </c>
      <c r="C175" s="31" t="e" cm="1">
        <f t="array" aca="1" ref="C175" ca="1">CELL("format",C152)="D1"</f>
        <v>#VALUE!</v>
      </c>
      <c r="D175" s="31" t="e" cm="1">
        <f t="array" aca="1" ref="D175" ca="1">CELL("format",D152)="D1"</f>
        <v>#VALUE!</v>
      </c>
      <c r="G175" s="31">
        <v>8</v>
      </c>
      <c r="H175" s="31" t="b">
        <f t="shared" si="19"/>
        <v>1</v>
      </c>
      <c r="J175" s="31">
        <v>8</v>
      </c>
      <c r="K175" s="31" t="b">
        <f t="shared" si="20"/>
        <v>1</v>
      </c>
    </row>
    <row r="176" spans="2:11">
      <c r="B176" s="31">
        <v>9</v>
      </c>
      <c r="C176" s="31" t="e" cm="1">
        <f t="array" aca="1" ref="C176" ca="1">CELL("format",C153)="D1"</f>
        <v>#VALUE!</v>
      </c>
      <c r="D176" s="31" t="e" cm="1">
        <f t="array" aca="1" ref="D176" ca="1">CELL("format",D153)="D1"</f>
        <v>#VALUE!</v>
      </c>
      <c r="G176" s="31">
        <v>9</v>
      </c>
      <c r="H176" s="31" t="b">
        <f t="shared" si="19"/>
        <v>1</v>
      </c>
      <c r="J176" s="31">
        <v>9</v>
      </c>
      <c r="K176" s="31" t="b">
        <f t="shared" si="20"/>
        <v>1</v>
      </c>
    </row>
    <row r="177" spans="2:11">
      <c r="B177" s="31">
        <v>10</v>
      </c>
      <c r="C177" s="31" t="e" cm="1">
        <f t="array" aca="1" ref="C177" ca="1">CELL("format",C154)="D1"</f>
        <v>#VALUE!</v>
      </c>
      <c r="D177" s="31" t="e" cm="1">
        <f t="array" aca="1" ref="D177" ca="1">CELL("format",D154)="D1"</f>
        <v>#VALUE!</v>
      </c>
      <c r="G177" s="31">
        <v>10</v>
      </c>
      <c r="H177" s="31" t="b">
        <f t="shared" si="19"/>
        <v>1</v>
      </c>
      <c r="J177" s="31">
        <v>10</v>
      </c>
      <c r="K177" s="31" t="b">
        <f t="shared" si="20"/>
        <v>1</v>
      </c>
    </row>
    <row r="178" spans="2:11">
      <c r="B178" s="31">
        <v>11</v>
      </c>
      <c r="C178" s="31" t="e" cm="1">
        <f t="array" aca="1" ref="C178" ca="1">CELL("format",C155)="D1"</f>
        <v>#VALUE!</v>
      </c>
      <c r="D178" s="31" t="e" cm="1">
        <f t="array" aca="1" ref="D178" ca="1">CELL("format",D155)="D1"</f>
        <v>#VALUE!</v>
      </c>
      <c r="G178" s="31">
        <v>11</v>
      </c>
      <c r="H178" s="31" t="b">
        <f t="shared" si="19"/>
        <v>1</v>
      </c>
      <c r="J178" s="31">
        <v>11</v>
      </c>
      <c r="K178" s="31" t="b">
        <f t="shared" si="20"/>
        <v>1</v>
      </c>
    </row>
    <row r="179" spans="2:11">
      <c r="B179" s="31">
        <v>12</v>
      </c>
      <c r="C179" s="31" t="e" cm="1">
        <f t="array" aca="1" ref="C179" ca="1">CELL("format",C156)="D1"</f>
        <v>#VALUE!</v>
      </c>
      <c r="D179" s="31" t="e" cm="1">
        <f t="array" aca="1" ref="D179" ca="1">CELL("format",D156)="D1"</f>
        <v>#VALUE!</v>
      </c>
      <c r="G179" s="31">
        <v>12</v>
      </c>
      <c r="H179" s="31" t="b">
        <f t="shared" si="19"/>
        <v>1</v>
      </c>
      <c r="J179" s="31">
        <v>12</v>
      </c>
      <c r="K179" s="31" t="b">
        <f t="shared" si="20"/>
        <v>1</v>
      </c>
    </row>
    <row r="180" spans="2:11">
      <c r="B180" s="31">
        <v>13</v>
      </c>
      <c r="C180" s="31" t="e" cm="1">
        <f t="array" aca="1" ref="C180" ca="1">CELL("format",C157)="D1"</f>
        <v>#VALUE!</v>
      </c>
      <c r="D180" s="31" t="e" cm="1">
        <f t="array" aca="1" ref="D180" ca="1">CELL("format",D157)="D1"</f>
        <v>#VALUE!</v>
      </c>
      <c r="G180" s="31">
        <v>13</v>
      </c>
      <c r="H180" s="31" t="b">
        <f t="shared" si="19"/>
        <v>1</v>
      </c>
      <c r="J180" s="31">
        <v>13</v>
      </c>
      <c r="K180" s="31" t="b">
        <f t="shared" si="20"/>
        <v>1</v>
      </c>
    </row>
    <row r="181" spans="2:11">
      <c r="B181" s="31">
        <v>14</v>
      </c>
      <c r="C181" s="31" t="e" cm="1">
        <f t="array" aca="1" ref="C181" ca="1">CELL("format",C158)="D1"</f>
        <v>#VALUE!</v>
      </c>
      <c r="D181" s="31" t="e" cm="1">
        <f t="array" aca="1" ref="D181" ca="1">CELL("format",D158)="D1"</f>
        <v>#VALUE!</v>
      </c>
      <c r="G181" s="31">
        <v>14</v>
      </c>
      <c r="H181" s="31" t="b">
        <f t="shared" si="19"/>
        <v>1</v>
      </c>
      <c r="J181" s="31">
        <v>14</v>
      </c>
      <c r="K181" s="31" t="b">
        <f t="shared" si="20"/>
        <v>1</v>
      </c>
    </row>
    <row r="182" spans="2:11">
      <c r="B182" s="31">
        <v>15</v>
      </c>
      <c r="C182" s="31" t="e" cm="1">
        <f t="array" aca="1" ref="C182" ca="1">CELL("format",C159)="D1"</f>
        <v>#VALUE!</v>
      </c>
      <c r="D182" s="31" t="e" cm="1">
        <f t="array" aca="1" ref="D182" ca="1">CELL("format",D159)="D1"</f>
        <v>#VALUE!</v>
      </c>
      <c r="G182" s="31">
        <v>15</v>
      </c>
      <c r="H182" s="31" t="b">
        <f t="shared" si="19"/>
        <v>1</v>
      </c>
      <c r="J182" s="31">
        <v>15</v>
      </c>
      <c r="K182" s="31" t="b">
        <f t="shared" si="20"/>
        <v>1</v>
      </c>
    </row>
    <row r="183" spans="2:11">
      <c r="B183" s="31">
        <v>16</v>
      </c>
      <c r="C183" s="31" t="e" cm="1">
        <f t="array" aca="1" ref="C183" ca="1">CELL("format",C160)="D1"</f>
        <v>#VALUE!</v>
      </c>
      <c r="D183" s="31" t="e" cm="1">
        <f t="array" aca="1" ref="D183" ca="1">CELL("format",D160)="D1"</f>
        <v>#VALUE!</v>
      </c>
      <c r="G183" s="31">
        <v>16</v>
      </c>
      <c r="H183" s="31" t="b">
        <f t="shared" si="19"/>
        <v>1</v>
      </c>
      <c r="J183" s="31">
        <v>16</v>
      </c>
      <c r="K183" s="31" t="b">
        <f t="shared" si="20"/>
        <v>1</v>
      </c>
    </row>
    <row r="184" spans="2:11">
      <c r="B184" s="31">
        <v>17</v>
      </c>
      <c r="C184" s="31" t="e" cm="1">
        <f t="array" aca="1" ref="C184" ca="1">CELL("format",C161)="D1"</f>
        <v>#VALUE!</v>
      </c>
      <c r="D184" s="31" t="e" cm="1">
        <f t="array" aca="1" ref="D184" ca="1">CELL("format",D161)="D1"</f>
        <v>#VALUE!</v>
      </c>
      <c r="G184" s="31">
        <v>17</v>
      </c>
      <c r="H184" s="31" t="b">
        <f t="shared" si="19"/>
        <v>1</v>
      </c>
      <c r="J184" s="31">
        <v>17</v>
      </c>
      <c r="K184" s="31" t="b">
        <f t="shared" si="20"/>
        <v>1</v>
      </c>
    </row>
    <row r="185" spans="2:11">
      <c r="B185" s="31">
        <v>18</v>
      </c>
      <c r="C185" s="31" t="e" cm="1">
        <f t="array" aca="1" ref="C185" ca="1">CELL("format",C162)="D1"</f>
        <v>#VALUE!</v>
      </c>
      <c r="D185" s="31" t="e" cm="1">
        <f t="array" aca="1" ref="D185" ca="1">CELL("format",D162)="D1"</f>
        <v>#VALUE!</v>
      </c>
      <c r="G185" s="31">
        <v>18</v>
      </c>
      <c r="H185" s="31" t="b">
        <f t="shared" si="19"/>
        <v>1</v>
      </c>
      <c r="J185" s="31">
        <v>18</v>
      </c>
      <c r="K185" s="31" t="b">
        <f t="shared" si="20"/>
        <v>1</v>
      </c>
    </row>
    <row r="186" spans="2:11">
      <c r="B186" s="31">
        <v>19</v>
      </c>
      <c r="C186" s="31" t="e" cm="1">
        <f t="array" aca="1" ref="C186" ca="1">CELL("format",C163)="D1"</f>
        <v>#VALUE!</v>
      </c>
      <c r="D186" s="31" t="e" cm="1">
        <f t="array" aca="1" ref="D186" ca="1">CELL("format",D163)="D1"</f>
        <v>#VALUE!</v>
      </c>
      <c r="G186" s="31">
        <v>19</v>
      </c>
      <c r="H186" s="31" t="b">
        <f t="shared" si="19"/>
        <v>1</v>
      </c>
      <c r="J186" s="31">
        <v>19</v>
      </c>
      <c r="K186" s="31" t="b">
        <f t="shared" si="20"/>
        <v>1</v>
      </c>
    </row>
    <row r="187" spans="2:11">
      <c r="B187" s="31">
        <v>20</v>
      </c>
      <c r="C187" s="31" t="e" cm="1">
        <f t="array" aca="1" ref="C187" ca="1">CELL("format",C164)="D1"</f>
        <v>#VALUE!</v>
      </c>
      <c r="D187" s="31" t="e" cm="1">
        <f t="array" aca="1" ref="D187" ca="1">CELL("format",D164)="D1"</f>
        <v>#VALUE!</v>
      </c>
      <c r="G187" s="31">
        <v>20</v>
      </c>
      <c r="H187" s="31" t="b">
        <f t="shared" si="19"/>
        <v>1</v>
      </c>
      <c r="J187" s="31">
        <v>20</v>
      </c>
      <c r="K187" s="31" t="b">
        <f t="shared" si="20"/>
        <v>1</v>
      </c>
    </row>
    <row r="190" spans="2:11" s="62" customFormat="1">
      <c r="B190" s="62" t="s">
        <v>692</v>
      </c>
    </row>
    <row r="192" spans="2:11">
      <c r="C192" s="31" t="s">
        <v>693</v>
      </c>
      <c r="D192" s="31" t="s">
        <v>677</v>
      </c>
    </row>
    <row r="193" spans="2:4">
      <c r="B193" s="31" t="s">
        <v>117</v>
      </c>
      <c r="C193" s="31" t="s">
        <v>694</v>
      </c>
    </row>
    <row r="194" spans="2:4">
      <c r="B194" s="31">
        <v>1</v>
      </c>
      <c r="C194" s="31">
        <f>'DQ Template'!W8</f>
        <v>0</v>
      </c>
      <c r="D194" s="75" t="str">
        <f>IF(C194&gt;0,ROUND('DQ Template'!$J$8-C194,ROUND_OFF),"")</f>
        <v/>
      </c>
    </row>
    <row r="195" spans="2:4">
      <c r="B195" s="31">
        <v>2</v>
      </c>
      <c r="C195" s="31">
        <f>'DQ Template'!W9</f>
        <v>0</v>
      </c>
      <c r="D195" s="75" t="str">
        <f>IF(C195&gt;0,ROUND('DQ Template'!$J$8-C195,ROUND_OFF),"")</f>
        <v/>
      </c>
    </row>
    <row r="196" spans="2:4">
      <c r="B196" s="31">
        <v>3</v>
      </c>
      <c r="C196" s="31">
        <f>'DQ Template'!W10</f>
        <v>0</v>
      </c>
      <c r="D196" s="75" t="str">
        <f>IF(C196&gt;0,ROUND('DQ Template'!$J$8-C196,ROUND_OFF),"")</f>
        <v/>
      </c>
    </row>
    <row r="197" spans="2:4">
      <c r="B197" s="31">
        <v>4</v>
      </c>
      <c r="C197" s="31">
        <f>'DQ Template'!W11</f>
        <v>0</v>
      </c>
      <c r="D197" s="75" t="str">
        <f>IF(C197&gt;0,ROUND('DQ Template'!$J$8-C197,ROUND_OFF),"")</f>
        <v/>
      </c>
    </row>
    <row r="198" spans="2:4">
      <c r="B198" s="31">
        <v>5</v>
      </c>
      <c r="C198" s="31">
        <f>'DQ Template'!W12</f>
        <v>0</v>
      </c>
      <c r="D198" s="75" t="str">
        <f>IF(C198&gt;0,ROUND('DQ Template'!$J$8-C198,ROUND_OFF),"")</f>
        <v/>
      </c>
    </row>
    <row r="199" spans="2:4">
      <c r="B199" s="31">
        <v>6</v>
      </c>
      <c r="C199" s="31">
        <f>'DQ Template'!W13</f>
        <v>0</v>
      </c>
      <c r="D199" s="75" t="str">
        <f>IF(C199&gt;0,ROUND('DQ Template'!$J$8-C199,ROUND_OFF),"")</f>
        <v/>
      </c>
    </row>
    <row r="200" spans="2:4">
      <c r="B200" s="31">
        <v>7</v>
      </c>
      <c r="C200" s="31">
        <f>'DQ Template'!W14</f>
        <v>0</v>
      </c>
      <c r="D200" s="75" t="str">
        <f>IF(C200&gt;0,ROUND('DQ Template'!$J$8-C200,ROUND_OFF),"")</f>
        <v/>
      </c>
    </row>
    <row r="201" spans="2:4">
      <c r="B201" s="31">
        <v>8</v>
      </c>
      <c r="C201" s="31">
        <f>'DQ Template'!W15</f>
        <v>0</v>
      </c>
      <c r="D201" s="75" t="str">
        <f>IF(C201&gt;0,ROUND('DQ Template'!$J$8-C201,ROUND_OFF),"")</f>
        <v/>
      </c>
    </row>
    <row r="202" spans="2:4">
      <c r="B202" s="31">
        <v>9</v>
      </c>
      <c r="C202" s="31">
        <f>'DQ Template'!W16</f>
        <v>0</v>
      </c>
      <c r="D202" s="75" t="str">
        <f>IF(C202&gt;0,ROUND('DQ Template'!$J$8-C202,ROUND_OFF),"")</f>
        <v/>
      </c>
    </row>
    <row r="203" spans="2:4">
      <c r="B203" s="31">
        <v>10</v>
      </c>
      <c r="C203" s="31">
        <f>'DQ Template'!W17</f>
        <v>0</v>
      </c>
      <c r="D203" s="75" t="str">
        <f>IF(C203&gt;0,ROUND('DQ Template'!$J$8-C203,ROUND_OFF),"")</f>
        <v/>
      </c>
    </row>
    <row r="204" spans="2:4">
      <c r="B204" s="31">
        <v>11</v>
      </c>
      <c r="C204" s="31">
        <f>'DQ Template'!W18</f>
        <v>0</v>
      </c>
      <c r="D204" s="75" t="str">
        <f>IF(C204&gt;0,ROUND('DQ Template'!$J$8-C204,ROUND_OFF),"")</f>
        <v/>
      </c>
    </row>
    <row r="205" spans="2:4">
      <c r="B205" s="31">
        <v>12</v>
      </c>
      <c r="C205" s="31">
        <f>'DQ Template'!W19</f>
        <v>0</v>
      </c>
      <c r="D205" s="75" t="str">
        <f>IF(C205&gt;0,ROUND('DQ Template'!$J$8-C205,ROUND_OFF),"")</f>
        <v/>
      </c>
    </row>
    <row r="206" spans="2:4">
      <c r="B206" s="31">
        <v>13</v>
      </c>
      <c r="C206" s="31">
        <f>'DQ Template'!W20</f>
        <v>0</v>
      </c>
      <c r="D206" s="75" t="str">
        <f>IF(C206&gt;0,ROUND('DQ Template'!$J$8-C206,ROUND_OFF),"")</f>
        <v/>
      </c>
    </row>
    <row r="207" spans="2:4">
      <c r="B207" s="31">
        <v>14</v>
      </c>
      <c r="C207" s="31">
        <f>'DQ Template'!W21</f>
        <v>0</v>
      </c>
      <c r="D207" s="75" t="str">
        <f>IF(C207&gt;0,ROUND('DQ Template'!$J$8-C207,ROUND_OFF),"")</f>
        <v/>
      </c>
    </row>
    <row r="208" spans="2:4">
      <c r="B208" s="31">
        <v>15</v>
      </c>
      <c r="C208" s="31">
        <f>'DQ Template'!W22</f>
        <v>0</v>
      </c>
      <c r="D208" s="75" t="str">
        <f>IF(C208&gt;0,ROUND('DQ Template'!$J$8-C208,ROUND_OFF),"")</f>
        <v/>
      </c>
    </row>
    <row r="209" spans="2:4">
      <c r="B209" s="31">
        <v>16</v>
      </c>
      <c r="C209" s="31">
        <f>'DQ Template'!W23</f>
        <v>0</v>
      </c>
      <c r="D209" s="75" t="str">
        <f>IF(C209&gt;0,ROUND('DQ Template'!$J$8-C209,ROUND_OFF),"")</f>
        <v/>
      </c>
    </row>
    <row r="210" spans="2:4">
      <c r="B210" s="31">
        <v>17</v>
      </c>
      <c r="C210" s="31">
        <f>'DQ Template'!W24</f>
        <v>0</v>
      </c>
      <c r="D210" s="75" t="str">
        <f>IF(C210&gt;0,ROUND('DQ Template'!$J$8-C210,ROUND_OFF),"")</f>
        <v/>
      </c>
    </row>
    <row r="211" spans="2:4">
      <c r="B211" s="31">
        <v>18</v>
      </c>
      <c r="C211" s="31">
        <f>'DQ Template'!W25</f>
        <v>0</v>
      </c>
      <c r="D211" s="75" t="str">
        <f>IF(C211&gt;0,ROUND('DQ Template'!$J$8-C211,ROUND_OFF),"")</f>
        <v/>
      </c>
    </row>
    <row r="212" spans="2:4">
      <c r="B212" s="31">
        <v>19</v>
      </c>
      <c r="C212" s="31">
        <f>'DQ Template'!W26</f>
        <v>0</v>
      </c>
      <c r="D212" s="75" t="str">
        <f>IF(C212&gt;0,ROUND('DQ Template'!$J$8-C212,ROUND_OFF),"")</f>
        <v/>
      </c>
    </row>
    <row r="213" spans="2:4">
      <c r="B213" s="31">
        <v>20</v>
      </c>
      <c r="C213" s="31">
        <f>'DQ Template'!W27</f>
        <v>0</v>
      </c>
      <c r="D213" s="75" t="str">
        <f>IF(C213&gt;0,ROUND('DQ Template'!$J$8-C213,ROUND_OFF),"")</f>
        <v/>
      </c>
    </row>
    <row r="216" spans="2:4" s="62" customFormat="1">
      <c r="B216" s="62" t="s">
        <v>695</v>
      </c>
    </row>
    <row r="218" spans="2:4">
      <c r="C218" s="31" t="s">
        <v>678</v>
      </c>
    </row>
    <row r="219" spans="2:4">
      <c r="B219" s="31" t="s">
        <v>117</v>
      </c>
      <c r="C219" s="31" t="s">
        <v>687</v>
      </c>
      <c r="D219" s="31" t="s">
        <v>688</v>
      </c>
    </row>
    <row r="220" spans="2:4">
      <c r="B220" s="31">
        <v>1</v>
      </c>
      <c r="C220" s="31">
        <f>'DQ Template'!N8</f>
        <v>0</v>
      </c>
      <c r="D220" s="31">
        <f>'DQ Template'!P8</f>
        <v>0</v>
      </c>
    </row>
    <row r="221" spans="2:4">
      <c r="B221" s="31">
        <v>2</v>
      </c>
      <c r="C221" s="31">
        <f>'DQ Template'!N9</f>
        <v>0</v>
      </c>
      <c r="D221" s="31">
        <f>'DQ Template'!P9</f>
        <v>0</v>
      </c>
    </row>
    <row r="222" spans="2:4">
      <c r="B222" s="31">
        <v>3</v>
      </c>
      <c r="C222" s="31">
        <f>'DQ Template'!N10</f>
        <v>0</v>
      </c>
      <c r="D222" s="31">
        <f>'DQ Template'!P10</f>
        <v>0</v>
      </c>
    </row>
    <row r="223" spans="2:4">
      <c r="B223" s="31">
        <v>4</v>
      </c>
      <c r="C223" s="31">
        <f>'DQ Template'!N11</f>
        <v>0</v>
      </c>
      <c r="D223" s="31">
        <f>'DQ Template'!P11</f>
        <v>0</v>
      </c>
    </row>
    <row r="224" spans="2:4">
      <c r="B224" s="31">
        <v>5</v>
      </c>
      <c r="C224" s="31">
        <f>'DQ Template'!N12</f>
        <v>0</v>
      </c>
      <c r="D224" s="31">
        <f>'DQ Template'!P12</f>
        <v>0</v>
      </c>
    </row>
    <row r="225" spans="2:4">
      <c r="B225" s="31">
        <v>6</v>
      </c>
      <c r="C225" s="31">
        <f>'DQ Template'!N13</f>
        <v>0</v>
      </c>
      <c r="D225" s="31">
        <f>'DQ Template'!P13</f>
        <v>0</v>
      </c>
    </row>
    <row r="226" spans="2:4">
      <c r="B226" s="31">
        <v>7</v>
      </c>
      <c r="C226" s="31">
        <f>'DQ Template'!N14</f>
        <v>0</v>
      </c>
      <c r="D226" s="31">
        <f>'DQ Template'!P14</f>
        <v>0</v>
      </c>
    </row>
    <row r="227" spans="2:4">
      <c r="B227" s="31">
        <v>8</v>
      </c>
      <c r="C227" s="31">
        <f>'DQ Template'!N15</f>
        <v>0</v>
      </c>
      <c r="D227" s="31">
        <f>'DQ Template'!P15</f>
        <v>0</v>
      </c>
    </row>
    <row r="228" spans="2:4">
      <c r="B228" s="31">
        <v>9</v>
      </c>
      <c r="C228" s="31">
        <f>'DQ Template'!N16</f>
        <v>0</v>
      </c>
      <c r="D228" s="31">
        <f>'DQ Template'!P16</f>
        <v>0</v>
      </c>
    </row>
    <row r="229" spans="2:4">
      <c r="B229" s="31">
        <v>10</v>
      </c>
      <c r="C229" s="31">
        <f>'DQ Template'!N17</f>
        <v>0</v>
      </c>
      <c r="D229" s="31">
        <f>'DQ Template'!P17</f>
        <v>0</v>
      </c>
    </row>
    <row r="230" spans="2:4">
      <c r="B230" s="31">
        <v>11</v>
      </c>
      <c r="C230" s="31">
        <f>'DQ Template'!N18</f>
        <v>0</v>
      </c>
      <c r="D230" s="31">
        <f>'DQ Template'!P18</f>
        <v>0</v>
      </c>
    </row>
    <row r="231" spans="2:4">
      <c r="B231" s="31">
        <v>12</v>
      </c>
      <c r="C231" s="31">
        <f>'DQ Template'!N19</f>
        <v>0</v>
      </c>
      <c r="D231" s="31">
        <f>'DQ Template'!P19</f>
        <v>0</v>
      </c>
    </row>
    <row r="232" spans="2:4">
      <c r="B232" s="31">
        <v>13</v>
      </c>
      <c r="C232" s="31">
        <f>'DQ Template'!N20</f>
        <v>0</v>
      </c>
      <c r="D232" s="31">
        <f>'DQ Template'!P20</f>
        <v>0</v>
      </c>
    </row>
    <row r="233" spans="2:4">
      <c r="B233" s="31">
        <v>14</v>
      </c>
      <c r="C233" s="31">
        <f>'DQ Template'!N21</f>
        <v>0</v>
      </c>
      <c r="D233" s="31">
        <f>'DQ Template'!P21</f>
        <v>0</v>
      </c>
    </row>
    <row r="234" spans="2:4">
      <c r="B234" s="31">
        <v>15</v>
      </c>
      <c r="C234" s="31">
        <f>'DQ Template'!N22</f>
        <v>0</v>
      </c>
      <c r="D234" s="31">
        <f>'DQ Template'!P22</f>
        <v>0</v>
      </c>
    </row>
    <row r="235" spans="2:4">
      <c r="B235" s="31">
        <v>16</v>
      </c>
      <c r="C235" s="31">
        <f>'DQ Template'!N23</f>
        <v>0</v>
      </c>
      <c r="D235" s="31">
        <f>'DQ Template'!P23</f>
        <v>0</v>
      </c>
    </row>
    <row r="236" spans="2:4">
      <c r="B236" s="31">
        <v>17</v>
      </c>
      <c r="C236" s="31">
        <f>'DQ Template'!N24</f>
        <v>0</v>
      </c>
      <c r="D236" s="31">
        <f>'DQ Template'!P24</f>
        <v>0</v>
      </c>
    </row>
    <row r="237" spans="2:4">
      <c r="B237" s="31">
        <v>18</v>
      </c>
      <c r="C237" s="31">
        <f>'DQ Template'!N25</f>
        <v>0</v>
      </c>
      <c r="D237" s="31">
        <f>'DQ Template'!P25</f>
        <v>0</v>
      </c>
    </row>
    <row r="238" spans="2:4">
      <c r="B238" s="31">
        <v>19</v>
      </c>
      <c r="C238" s="31">
        <f>'DQ Template'!N26</f>
        <v>0</v>
      </c>
      <c r="D238" s="31">
        <f>'DQ Template'!P26</f>
        <v>0</v>
      </c>
    </row>
    <row r="239" spans="2:4">
      <c r="B239" s="31">
        <v>20</v>
      </c>
      <c r="C239" s="31">
        <f>'DQ Template'!N27</f>
        <v>0</v>
      </c>
      <c r="D239" s="31">
        <f>'DQ Template'!P27</f>
        <v>0</v>
      </c>
    </row>
    <row r="241" spans="2:3">
      <c r="C241" s="31" t="s">
        <v>696</v>
      </c>
    </row>
    <row r="242" spans="2:3">
      <c r="B242" s="31" t="s">
        <v>117</v>
      </c>
      <c r="C242" s="31" t="s">
        <v>687</v>
      </c>
    </row>
    <row r="243" spans="2:3">
      <c r="B243" s="31">
        <v>1</v>
      </c>
    </row>
    <row r="244" spans="2:3">
      <c r="B244" s="31">
        <v>2</v>
      </c>
      <c r="C244" s="31" t="b">
        <f t="shared" ref="C244:C262" si="21">IF(C221&lt;&gt;0, C221=D220, TRUE)</f>
        <v>1</v>
      </c>
    </row>
    <row r="245" spans="2:3">
      <c r="B245" s="31">
        <v>3</v>
      </c>
      <c r="C245" s="31" t="b">
        <f t="shared" si="21"/>
        <v>1</v>
      </c>
    </row>
    <row r="246" spans="2:3">
      <c r="B246" s="31">
        <v>4</v>
      </c>
      <c r="C246" s="31" t="b">
        <f t="shared" si="21"/>
        <v>1</v>
      </c>
    </row>
    <row r="247" spans="2:3">
      <c r="B247" s="31">
        <v>5</v>
      </c>
      <c r="C247" s="31" t="b">
        <f t="shared" si="21"/>
        <v>1</v>
      </c>
    </row>
    <row r="248" spans="2:3">
      <c r="B248" s="31">
        <v>6</v>
      </c>
      <c r="C248" s="31" t="b">
        <f t="shared" si="21"/>
        <v>1</v>
      </c>
    </row>
    <row r="249" spans="2:3">
      <c r="B249" s="31">
        <v>7</v>
      </c>
      <c r="C249" s="31" t="b">
        <f>IF(C226&lt;&gt;0, C226=D225, TRUE)</f>
        <v>1</v>
      </c>
    </row>
    <row r="250" spans="2:3">
      <c r="B250" s="31">
        <v>8</v>
      </c>
      <c r="C250" s="31" t="b">
        <f t="shared" si="21"/>
        <v>1</v>
      </c>
    </row>
    <row r="251" spans="2:3">
      <c r="B251" s="31">
        <v>9</v>
      </c>
      <c r="C251" s="31" t="b">
        <f t="shared" si="21"/>
        <v>1</v>
      </c>
    </row>
    <row r="252" spans="2:3">
      <c r="B252" s="31">
        <v>10</v>
      </c>
      <c r="C252" s="31" t="b">
        <f t="shared" si="21"/>
        <v>1</v>
      </c>
    </row>
    <row r="253" spans="2:3">
      <c r="B253" s="31">
        <v>11</v>
      </c>
      <c r="C253" s="31" t="b">
        <f t="shared" si="21"/>
        <v>1</v>
      </c>
    </row>
    <row r="254" spans="2:3">
      <c r="B254" s="31">
        <v>12</v>
      </c>
      <c r="C254" s="31" t="b">
        <f t="shared" si="21"/>
        <v>1</v>
      </c>
    </row>
    <row r="255" spans="2:3">
      <c r="B255" s="31">
        <v>13</v>
      </c>
      <c r="C255" s="31" t="b">
        <f t="shared" si="21"/>
        <v>1</v>
      </c>
    </row>
    <row r="256" spans="2:3">
      <c r="B256" s="31">
        <v>14</v>
      </c>
      <c r="C256" s="31" t="b">
        <f t="shared" si="21"/>
        <v>1</v>
      </c>
    </row>
    <row r="257" spans="2:3">
      <c r="B257" s="31">
        <v>15</v>
      </c>
      <c r="C257" s="31" t="b">
        <f t="shared" si="21"/>
        <v>1</v>
      </c>
    </row>
    <row r="258" spans="2:3">
      <c r="B258" s="31">
        <v>16</v>
      </c>
      <c r="C258" s="31" t="b">
        <f t="shared" si="21"/>
        <v>1</v>
      </c>
    </row>
    <row r="259" spans="2:3">
      <c r="B259" s="31">
        <v>17</v>
      </c>
      <c r="C259" s="31" t="b">
        <f t="shared" si="21"/>
        <v>1</v>
      </c>
    </row>
    <row r="260" spans="2:3">
      <c r="B260" s="31">
        <v>18</v>
      </c>
      <c r="C260" s="31" t="b">
        <f t="shared" si="21"/>
        <v>1</v>
      </c>
    </row>
    <row r="261" spans="2:3">
      <c r="B261" s="31">
        <v>19</v>
      </c>
      <c r="C261" s="31" t="b">
        <f t="shared" si="21"/>
        <v>1</v>
      </c>
    </row>
    <row r="262" spans="2:3">
      <c r="B262" s="31">
        <v>20</v>
      </c>
      <c r="C262" s="31" t="b">
        <f t="shared" si="21"/>
        <v>1</v>
      </c>
    </row>
  </sheetData>
  <phoneticPr fontId="5" type="noConversion"/>
  <conditionalFormatting sqref="C104 E104 G104 C107 E107 C110 E110">
    <cfRule type="cellIs" dxfId="12" priority="8" operator="equal">
      <formula>TRUE</formula>
    </cfRule>
    <cfRule type="cellIs" dxfId="11" priority="9" operator="equal">
      <formula>FALSE</formula>
    </cfRule>
  </conditionalFormatting>
  <conditionalFormatting sqref="C113">
    <cfRule type="cellIs" dxfId="10" priority="1" operator="equal">
      <formula>TRUE</formula>
    </cfRule>
    <cfRule type="cellIs" dxfId="9" priority="2" operator="equal">
      <formula>FALSE</formula>
    </cfRule>
  </conditionalFormatting>
  <conditionalFormatting sqref="C244:C262">
    <cfRule type="cellIs" dxfId="8" priority="3" operator="equal">
      <formula>FALSE</formula>
    </cfRule>
  </conditionalFormatting>
  <conditionalFormatting sqref="C119:F138">
    <cfRule type="cellIs" dxfId="7" priority="12" operator="lessThan">
      <formula>0</formula>
    </cfRule>
  </conditionalFormatting>
  <conditionalFormatting sqref="C194:I213">
    <cfRule type="cellIs" dxfId="6" priority="7" operator="lessThan">
      <formula>0</formula>
    </cfRule>
  </conditionalFormatting>
  <conditionalFormatting sqref="H168:H187">
    <cfRule type="cellIs" dxfId="5" priority="6" operator="equal">
      <formula>FALSE</formula>
    </cfRule>
  </conditionalFormatting>
  <conditionalFormatting sqref="I119:L138">
    <cfRule type="cellIs" dxfId="4" priority="11" operator="lessThan">
      <formula>0</formula>
    </cfRule>
  </conditionalFormatting>
  <conditionalFormatting sqref="I141:L141">
    <cfRule type="cellIs" dxfId="3" priority="13" operator="notEqual">
      <formula>0</formula>
    </cfRule>
  </conditionalFormatting>
  <conditionalFormatting sqref="I216:L216">
    <cfRule type="cellIs" dxfId="2" priority="4" operator="notEqual">
      <formula>0</formula>
    </cfRule>
  </conditionalFormatting>
  <conditionalFormatting sqref="K169:K187">
    <cfRule type="cellIs" dxfId="1" priority="5" operator="equal">
      <formula>FALSE</formula>
    </cfRule>
  </conditionalFormatting>
  <conditionalFormatting sqref="O119:R138">
    <cfRule type="cellIs" dxfId="0" priority="10" operator="lessThan">
      <formula>0</formula>
    </cfRule>
  </conditionalFormatting>
  <pageMargins left="0.7" right="0.7" top="0.75" bottom="0.75" header="0.3" footer="0.3"/>
  <ignoredErrors>
    <ignoredError sqref="C37 C28 C55" formula="1"/>
    <ignoredError sqref="D91:D94 C95"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D4B33-4762-4854-8EA0-08FD4559CBF7}">
  <sheetPr>
    <tabColor theme="2"/>
  </sheetPr>
  <dimension ref="B1:N130"/>
  <sheetViews>
    <sheetView showGridLines="0" zoomScale="90" zoomScaleNormal="90" workbookViewId="0">
      <selection activeCell="N28" sqref="N28"/>
    </sheetView>
  </sheetViews>
  <sheetFormatPr defaultColWidth="9.140625" defaultRowHeight="14.25" outlineLevelRow="1"/>
  <cols>
    <col min="1" max="1" width="1.7109375" style="38" customWidth="1"/>
    <col min="2" max="2" width="9.140625" style="38"/>
    <col min="3" max="3" width="5.28515625" style="38" customWidth="1"/>
    <col min="4" max="4" width="61.42578125" style="38" customWidth="1"/>
    <col min="5" max="5" width="45.7109375" style="38" bestFit="1" customWidth="1"/>
    <col min="6" max="10" width="25.7109375" style="38" customWidth="1"/>
    <col min="11" max="11" width="9.140625" style="38"/>
    <col min="12" max="12" width="4.85546875" style="38" customWidth="1"/>
    <col min="13" max="13" width="33.85546875" style="38" bestFit="1" customWidth="1"/>
    <col min="14" max="14" width="35.28515625" style="38" bestFit="1" customWidth="1"/>
    <col min="15" max="16384" width="9.140625" style="38"/>
  </cols>
  <sheetData>
    <row r="1" spans="4:9" ht="15" thickBot="1"/>
    <row r="2" spans="4:9" ht="16.5" thickBot="1">
      <c r="D2" s="176" t="s">
        <v>697</v>
      </c>
      <c r="E2" s="177" t="s">
        <v>173</v>
      </c>
    </row>
    <row r="3" spans="4:9" ht="15.75">
      <c r="D3" s="254"/>
      <c r="E3" s="255"/>
    </row>
    <row r="4" spans="4:9">
      <c r="D4" s="256" t="s">
        <v>698</v>
      </c>
      <c r="E4" s="257" t="str">
        <f>+IF(ISNUMBER(SEARCH("At Sea and at Berth",'DQ Template'!S5)),"At Sea and at Berth",IF(ISNUMBER(SEARCH("At Sea",'DQ Template'!S5)),"At Sea",""))</f>
        <v>At Sea and at Berth</v>
      </c>
    </row>
    <row r="5" spans="4:9" ht="15" thickBot="1">
      <c r="D5" s="198"/>
      <c r="E5" s="199"/>
    </row>
    <row r="6" spans="4:9" ht="15">
      <c r="F6" s="330" t="s">
        <v>621</v>
      </c>
      <c r="G6" s="331" t="s">
        <v>622</v>
      </c>
      <c r="H6" s="331" t="s">
        <v>623</v>
      </c>
      <c r="I6" s="299" t="s">
        <v>624</v>
      </c>
    </row>
    <row r="7" spans="4:9" ht="15.75" thickBot="1">
      <c r="D7" s="56" t="s">
        <v>699</v>
      </c>
      <c r="E7" s="56" t="s">
        <v>2</v>
      </c>
      <c r="F7" s="333">
        <f>+IF('DQ Template'!$S$6="N/A",0,'DQ Template'!$S$6)</f>
        <v>0</v>
      </c>
      <c r="G7" s="332">
        <f>+IF('DQ Template'!$T$6="N/A",0,'DQ Template'!$T$6)</f>
        <v>0</v>
      </c>
      <c r="H7" s="332">
        <f>+IF('DQ Template'!$U$6="N/A",0,'DQ Template'!$U$6)</f>
        <v>0</v>
      </c>
      <c r="I7" s="303">
        <f>+IF('DQ Template'!$V$6="N/A",0,'DQ Template'!$V$6)</f>
        <v>0</v>
      </c>
    </row>
    <row r="8" spans="4:9">
      <c r="D8" s="241" t="s">
        <v>700</v>
      </c>
      <c r="E8" s="249" t="s">
        <v>563</v>
      </c>
      <c r="F8" s="232" t="e">
        <f>+F$52*F54</f>
        <v>#VALUE!</v>
      </c>
      <c r="G8" s="232" t="e">
        <f t="shared" ref="G8:I8" si="0">+G$52*G54</f>
        <v>#VALUE!</v>
      </c>
      <c r="H8" s="232" t="e">
        <f t="shared" si="0"/>
        <v>#VALUE!</v>
      </c>
      <c r="I8" s="232" t="e">
        <f t="shared" si="0"/>
        <v>#VALUE!</v>
      </c>
    </row>
    <row r="9" spans="4:9">
      <c r="D9" s="233" t="s">
        <v>701</v>
      </c>
      <c r="E9" s="251" t="s">
        <v>563</v>
      </c>
      <c r="F9" s="236" t="e">
        <f t="shared" ref="F9:I10" si="1">+F$52*F55</f>
        <v>#VALUE!</v>
      </c>
      <c r="G9" s="236" t="e">
        <f t="shared" si="1"/>
        <v>#VALUE!</v>
      </c>
      <c r="H9" s="236" t="e">
        <f t="shared" si="1"/>
        <v>#VALUE!</v>
      </c>
      <c r="I9" s="236" t="e">
        <f t="shared" si="1"/>
        <v>#VALUE!</v>
      </c>
    </row>
    <row r="10" spans="4:9">
      <c r="D10" s="237" t="s">
        <v>702</v>
      </c>
      <c r="E10" s="250" t="s">
        <v>563</v>
      </c>
      <c r="F10" s="247" t="e">
        <f t="shared" si="1"/>
        <v>#VALUE!</v>
      </c>
      <c r="G10" s="247" t="e">
        <f t="shared" si="1"/>
        <v>#VALUE!</v>
      </c>
      <c r="H10" s="247" t="e">
        <f t="shared" si="1"/>
        <v>#VALUE!</v>
      </c>
      <c r="I10" s="247" t="e">
        <f t="shared" si="1"/>
        <v>#VALUE!</v>
      </c>
    </row>
    <row r="11" spans="4:9">
      <c r="D11" s="279"/>
      <c r="E11" s="280"/>
      <c r="F11" s="281"/>
      <c r="G11" s="231"/>
    </row>
    <row r="12" spans="4:9" ht="15">
      <c r="D12" s="304" t="s">
        <v>703</v>
      </c>
      <c r="E12" s="56" t="s">
        <v>2</v>
      </c>
    </row>
    <row r="13" spans="4:9">
      <c r="D13" s="241" t="s">
        <v>704</v>
      </c>
      <c r="E13" s="249" t="s">
        <v>705</v>
      </c>
      <c r="F13" s="244">
        <f>+F$52*F91</f>
        <v>0</v>
      </c>
      <c r="G13" s="244">
        <f t="shared" ref="G13:I13" si="2">+G$52*G91</f>
        <v>0</v>
      </c>
      <c r="H13" s="244">
        <f t="shared" si="2"/>
        <v>0</v>
      </c>
      <c r="I13" s="244">
        <f t="shared" si="2"/>
        <v>0</v>
      </c>
    </row>
    <row r="14" spans="4:9">
      <c r="D14" s="237" t="s">
        <v>706</v>
      </c>
      <c r="E14" s="250" t="s">
        <v>705</v>
      </c>
      <c r="F14" s="247">
        <f>+F$52*F92</f>
        <v>0</v>
      </c>
      <c r="G14" s="247">
        <f t="shared" ref="G14:I14" si="3">+G$52*G92</f>
        <v>0</v>
      </c>
      <c r="H14" s="247">
        <f t="shared" si="3"/>
        <v>0</v>
      </c>
      <c r="I14" s="247">
        <f t="shared" si="3"/>
        <v>0</v>
      </c>
    </row>
    <row r="15" spans="4:9">
      <c r="D15" s="305"/>
      <c r="E15" s="306"/>
      <c r="F15" s="307"/>
      <c r="G15" s="231"/>
    </row>
    <row r="16" spans="4:9" ht="15">
      <c r="D16" s="204" t="s">
        <v>707</v>
      </c>
      <c r="E16" s="56" t="s">
        <v>2</v>
      </c>
      <c r="F16" s="307"/>
      <c r="G16" s="231"/>
    </row>
    <row r="17" spans="4:10">
      <c r="D17" s="241" t="s">
        <v>708</v>
      </c>
      <c r="E17" s="249" t="s">
        <v>709</v>
      </c>
      <c r="F17" s="244" t="e">
        <f>+F$52*F64</f>
        <v>#VALUE!</v>
      </c>
      <c r="G17" s="244" t="e">
        <f>+G$52*G64</f>
        <v>#VALUE!</v>
      </c>
      <c r="H17" s="244" t="e">
        <f>+H$52*H64</f>
        <v>#VALUE!</v>
      </c>
      <c r="I17" s="244" t="e">
        <f t="shared" ref="I17" si="4">+I$52*I64</f>
        <v>#VALUE!</v>
      </c>
    </row>
    <row r="18" spans="4:10">
      <c r="D18" s="237" t="s">
        <v>708</v>
      </c>
      <c r="E18" s="250" t="s">
        <v>78</v>
      </c>
      <c r="F18" s="308" t="e">
        <f>+F$52*F65</f>
        <v>#VALUE!</v>
      </c>
      <c r="G18" s="308" t="e">
        <f t="shared" ref="G18:I18" si="5">+G$52*G65</f>
        <v>#VALUE!</v>
      </c>
      <c r="H18" s="308" t="e">
        <f>+H$52*H65</f>
        <v>#VALUE!</v>
      </c>
      <c r="I18" s="308" t="e">
        <f t="shared" si="5"/>
        <v>#VALUE!</v>
      </c>
    </row>
    <row r="19" spans="4:10">
      <c r="E19" s="306"/>
      <c r="F19" s="365"/>
      <c r="G19" s="365"/>
      <c r="H19" s="365"/>
      <c r="I19" s="365"/>
    </row>
    <row r="20" spans="4:10" ht="15">
      <c r="D20" s="204" t="s">
        <v>710</v>
      </c>
      <c r="E20" s="56" t="s">
        <v>2</v>
      </c>
      <c r="F20" s="307"/>
      <c r="G20" s="231"/>
    </row>
    <row r="21" spans="4:10">
      <c r="D21" s="241" t="s">
        <v>708</v>
      </c>
      <c r="E21" s="249" t="s">
        <v>709</v>
      </c>
      <c r="F21" s="244" t="e">
        <f>+F$52*F69</f>
        <v>#VALUE!</v>
      </c>
      <c r="G21" s="244" t="e">
        <f>+G$52*G69</f>
        <v>#VALUE!</v>
      </c>
      <c r="H21" s="244" t="e">
        <f t="shared" ref="H21:I21" si="6">+H$52*H69</f>
        <v>#VALUE!</v>
      </c>
      <c r="I21" s="244" t="e">
        <f t="shared" si="6"/>
        <v>#VALUE!</v>
      </c>
    </row>
    <row r="22" spans="4:10">
      <c r="D22" s="237" t="s">
        <v>708</v>
      </c>
      <c r="E22" s="250" t="s">
        <v>78</v>
      </c>
      <c r="F22" s="308" t="e">
        <f>+F$52*F70</f>
        <v>#VALUE!</v>
      </c>
      <c r="G22" s="308" t="e">
        <f t="shared" ref="G22:I22" si="7">+G$52*G70</f>
        <v>#VALUE!</v>
      </c>
      <c r="H22" s="308" t="e">
        <f t="shared" si="7"/>
        <v>#VALUE!</v>
      </c>
      <c r="I22" s="308" t="e">
        <f t="shared" si="7"/>
        <v>#VALUE!</v>
      </c>
    </row>
    <row r="23" spans="4:10" ht="15" thickBot="1">
      <c r="D23" s="198"/>
      <c r="E23" s="199"/>
      <c r="F23" s="231"/>
      <c r="G23" s="231"/>
    </row>
    <row r="24" spans="4:10" ht="15.75" thickBot="1">
      <c r="D24" s="198"/>
      <c r="E24" s="199"/>
      <c r="F24" s="330" t="s">
        <v>621</v>
      </c>
      <c r="G24" s="331" t="s">
        <v>622</v>
      </c>
      <c r="H24" s="331" t="s">
        <v>623</v>
      </c>
      <c r="I24" s="299" t="s">
        <v>624</v>
      </c>
    </row>
    <row r="25" spans="4:10" ht="15.75" thickBot="1">
      <c r="D25" s="204" t="s">
        <v>711</v>
      </c>
      <c r="E25" s="56" t="s">
        <v>2</v>
      </c>
      <c r="F25" s="333">
        <f>+IF('DQ Template'!$S$6="N/A",0,'DQ Template'!$S$6)</f>
        <v>0</v>
      </c>
      <c r="G25" s="332">
        <f>+IF('DQ Template'!$T$6="N/A",0,'DQ Template'!$T$6)</f>
        <v>0</v>
      </c>
      <c r="H25" s="332">
        <f>+IF('DQ Template'!$U$6="N/A",0,'DQ Template'!$U$6)</f>
        <v>0</v>
      </c>
      <c r="I25" s="302">
        <f>+IF('DQ Template'!$V$6="N/A",0,'DQ Template'!$V$6)</f>
        <v>0</v>
      </c>
      <c r="J25" s="334" t="s">
        <v>712</v>
      </c>
    </row>
    <row r="26" spans="4:10">
      <c r="D26" s="241" t="s">
        <v>53</v>
      </c>
      <c r="E26" s="249" t="s">
        <v>705</v>
      </c>
      <c r="F26" s="232">
        <f>+F52*F73</f>
        <v>0</v>
      </c>
      <c r="G26" s="232">
        <f>+G52*G73</f>
        <v>0</v>
      </c>
      <c r="H26" s="232">
        <f>+H52*H73</f>
        <v>0</v>
      </c>
      <c r="I26" s="232">
        <f>+I52*I73</f>
        <v>0</v>
      </c>
      <c r="J26" s="232">
        <f>+J73</f>
        <v>0</v>
      </c>
    </row>
    <row r="27" spans="4:10">
      <c r="D27" s="233" t="s">
        <v>713</v>
      </c>
      <c r="E27" s="251" t="s">
        <v>563</v>
      </c>
      <c r="F27" s="236" t="e">
        <f>+F52*F74</f>
        <v>#VALUE!</v>
      </c>
      <c r="G27" s="236" t="e">
        <f>+G52*G74</f>
        <v>#VALUE!</v>
      </c>
      <c r="H27" s="236" t="e">
        <f>+H52*H74</f>
        <v>#VALUE!</v>
      </c>
      <c r="I27" s="236" t="e">
        <f>+I52*I74</f>
        <v>#VALUE!</v>
      </c>
      <c r="J27" s="236" t="e">
        <f t="shared" ref="J27:J32" si="8">+J74</f>
        <v>#VALUE!</v>
      </c>
    </row>
    <row r="28" spans="4:10">
      <c r="D28" s="233" t="s">
        <v>714</v>
      </c>
      <c r="E28" s="251" t="s">
        <v>709</v>
      </c>
      <c r="F28" s="236" t="e">
        <f>+F52*F75</f>
        <v>#VALUE!</v>
      </c>
      <c r="G28" s="236" t="e">
        <f>+G52*G75</f>
        <v>#VALUE!</v>
      </c>
      <c r="H28" s="236" t="e">
        <f>+H52*H75</f>
        <v>#VALUE!</v>
      </c>
      <c r="I28" s="236" t="e">
        <f>+I52*I75</f>
        <v>#VALUE!</v>
      </c>
      <c r="J28" s="236" t="e">
        <f t="shared" si="8"/>
        <v>#VALUE!</v>
      </c>
    </row>
    <row r="29" spans="4:10">
      <c r="D29" s="233" t="s">
        <v>715</v>
      </c>
      <c r="E29" s="251" t="s">
        <v>619</v>
      </c>
      <c r="F29" s="236" t="e">
        <f>+F52*F76</f>
        <v>#VALUE!</v>
      </c>
      <c r="G29" s="236" t="e">
        <f>+G52*G76</f>
        <v>#VALUE!</v>
      </c>
      <c r="H29" s="236" t="e">
        <f>+H52*H76</f>
        <v>#VALUE!</v>
      </c>
      <c r="I29" s="236" t="e">
        <f>+I52*I76</f>
        <v>#VALUE!</v>
      </c>
      <c r="J29" s="236" t="e">
        <f t="shared" si="8"/>
        <v>#VALUE!</v>
      </c>
    </row>
    <row r="30" spans="4:10">
      <c r="D30" s="233" t="s">
        <v>716</v>
      </c>
      <c r="E30" s="251" t="str">
        <f>+'DQ Template'!$K$8 &amp; "- nm"</f>
        <v>- nm</v>
      </c>
      <c r="F30" s="236" t="e">
        <f>+F52*F77</f>
        <v>#VALUE!</v>
      </c>
      <c r="G30" s="236" t="e">
        <f>+G52*G77</f>
        <v>#VALUE!</v>
      </c>
      <c r="H30" s="236" t="e">
        <f>+H52*H77</f>
        <v>#VALUE!</v>
      </c>
      <c r="I30" s="236" t="e">
        <f>+I52*I77</f>
        <v>#VALUE!</v>
      </c>
      <c r="J30" s="236" t="e">
        <f t="shared" si="8"/>
        <v>#VALUE!</v>
      </c>
    </row>
    <row r="31" spans="4:10">
      <c r="D31" s="233" t="s">
        <v>717</v>
      </c>
      <c r="E31" s="251" t="str">
        <f>+"gCO2eq per" &amp; 'DQ Template'!K17 &amp; "- nm"</f>
        <v>gCO2eq per- nm</v>
      </c>
      <c r="F31" s="236">
        <f>+F52*F78</f>
        <v>0</v>
      </c>
      <c r="G31" s="236">
        <f>+G52*G78</f>
        <v>0</v>
      </c>
      <c r="H31" s="236">
        <f>+H52*H78</f>
        <v>0</v>
      </c>
      <c r="I31" s="236">
        <f>+I52*I78</f>
        <v>0</v>
      </c>
      <c r="J31" s="236" t="e">
        <f t="shared" si="8"/>
        <v>#VALUE!</v>
      </c>
    </row>
    <row r="32" spans="4:10">
      <c r="D32" s="237" t="s">
        <v>718</v>
      </c>
      <c r="E32" s="250" t="str">
        <f>+"grams fuel per " &amp; 'DQ Template'!$K$8 &amp; "- nm"</f>
        <v>grams fuel per - nm</v>
      </c>
      <c r="F32" s="247">
        <f>+F52*F79</f>
        <v>0</v>
      </c>
      <c r="G32" s="247">
        <f>+G52*G79</f>
        <v>0</v>
      </c>
      <c r="H32" s="247">
        <f>+H52*H79</f>
        <v>0</v>
      </c>
      <c r="I32" s="247">
        <f>+I52*I79</f>
        <v>0</v>
      </c>
      <c r="J32" s="247">
        <f t="shared" si="8"/>
        <v>0</v>
      </c>
    </row>
    <row r="33" spans="2:14" ht="15" thickBot="1">
      <c r="D33" s="198"/>
      <c r="E33" s="306"/>
      <c r="F33" s="363"/>
      <c r="G33" s="363"/>
      <c r="H33" s="363"/>
      <c r="I33" s="363"/>
      <c r="J33" s="363"/>
    </row>
    <row r="34" spans="2:14" ht="15.75" thickBot="1">
      <c r="D34" s="198"/>
      <c r="E34" s="199"/>
      <c r="F34" s="330" t="s">
        <v>621</v>
      </c>
      <c r="G34" s="331" t="s">
        <v>622</v>
      </c>
      <c r="H34" s="331" t="s">
        <v>623</v>
      </c>
      <c r="I34" s="299" t="s">
        <v>624</v>
      </c>
    </row>
    <row r="35" spans="2:14" ht="15.75" thickBot="1">
      <c r="D35" s="204" t="s">
        <v>719</v>
      </c>
      <c r="E35" s="56" t="s">
        <v>2</v>
      </c>
      <c r="F35" s="333">
        <f>+IF('DQ Template'!$S$6="N/A",0,'DQ Template'!$S$6)</f>
        <v>0</v>
      </c>
      <c r="G35" s="332">
        <f>+IF('DQ Template'!$T$6="N/A",0,'DQ Template'!$T$6)</f>
        <v>0</v>
      </c>
      <c r="H35" s="332">
        <f>+IF('DQ Template'!$U$6="N/A",0,'DQ Template'!$U$6)</f>
        <v>0</v>
      </c>
      <c r="I35" s="302">
        <f>+IF('DQ Template'!$V$6="N/A",0,'DQ Template'!$V$6)</f>
        <v>0</v>
      </c>
      <c r="J35" s="334" t="s">
        <v>712</v>
      </c>
    </row>
    <row r="36" spans="2:14">
      <c r="D36" s="241" t="s">
        <v>53</v>
      </c>
      <c r="E36" s="249" t="s">
        <v>705</v>
      </c>
      <c r="F36" s="232">
        <f>+F52*F82</f>
        <v>0</v>
      </c>
      <c r="G36" s="232">
        <f t="shared" ref="G36:I36" si="9">+G52*G82</f>
        <v>0</v>
      </c>
      <c r="H36" s="232">
        <f t="shared" si="9"/>
        <v>0</v>
      </c>
      <c r="I36" s="232">
        <f t="shared" si="9"/>
        <v>0</v>
      </c>
      <c r="J36" s="232">
        <f>+J82</f>
        <v>0</v>
      </c>
    </row>
    <row r="37" spans="2:14">
      <c r="D37" s="233" t="s">
        <v>713</v>
      </c>
      <c r="E37" s="251" t="s">
        <v>563</v>
      </c>
      <c r="F37" s="232" t="e">
        <f>+F52*F83</f>
        <v>#VALUE!</v>
      </c>
      <c r="G37" s="232" t="e">
        <f t="shared" ref="G37:I37" si="10">+G52*G83</f>
        <v>#VALUE!</v>
      </c>
      <c r="H37" s="232" t="e">
        <f t="shared" si="10"/>
        <v>#VALUE!</v>
      </c>
      <c r="I37" s="232" t="e">
        <f t="shared" si="10"/>
        <v>#VALUE!</v>
      </c>
      <c r="J37" s="232" t="e">
        <f>+J83</f>
        <v>#VALUE!</v>
      </c>
    </row>
    <row r="38" spans="2:14">
      <c r="D38" s="233" t="s">
        <v>714</v>
      </c>
      <c r="E38" s="251" t="s">
        <v>709</v>
      </c>
      <c r="F38" s="236" t="e">
        <f>+F52*F84</f>
        <v>#VALUE!</v>
      </c>
      <c r="G38" s="236" t="e">
        <f t="shared" ref="G38:I38" si="11">+G52*G84</f>
        <v>#VALUE!</v>
      </c>
      <c r="H38" s="236" t="e">
        <f>+H52*H84</f>
        <v>#VALUE!</v>
      </c>
      <c r="I38" s="236" t="e">
        <f t="shared" si="11"/>
        <v>#VALUE!</v>
      </c>
      <c r="J38" s="232" t="e">
        <f t="shared" ref="J38:J41" si="12">+J84</f>
        <v>#VALUE!</v>
      </c>
    </row>
    <row r="39" spans="2:14">
      <c r="D39" s="233" t="s">
        <v>715</v>
      </c>
      <c r="E39" s="251" t="s">
        <v>619</v>
      </c>
      <c r="F39" s="380" t="e">
        <f>+F52*F85</f>
        <v>#VALUE!</v>
      </c>
      <c r="G39" s="380" t="e">
        <f>+G52*G85</f>
        <v>#VALUE!</v>
      </c>
      <c r="H39" s="236" t="e">
        <f>+H52*H85</f>
        <v>#VALUE!</v>
      </c>
      <c r="I39" s="380" t="e">
        <f>+I52*I85</f>
        <v>#VALUE!</v>
      </c>
      <c r="J39" s="232" t="e">
        <f t="shared" si="12"/>
        <v>#VALUE!</v>
      </c>
    </row>
    <row r="40" spans="2:14">
      <c r="D40" s="233" t="s">
        <v>716</v>
      </c>
      <c r="E40" s="251" t="str">
        <f>+'DQ Template'!$K$8 &amp; "- nm"</f>
        <v>- nm</v>
      </c>
      <c r="F40" s="236" t="e">
        <f>+F52*F86</f>
        <v>#VALUE!</v>
      </c>
      <c r="G40" s="236" t="e">
        <f t="shared" ref="G40:H40" si="13">+G52*G86</f>
        <v>#VALUE!</v>
      </c>
      <c r="H40" s="236" t="e">
        <f t="shared" si="13"/>
        <v>#VALUE!</v>
      </c>
      <c r="I40" s="236" t="e">
        <f>+I52*I86</f>
        <v>#VALUE!</v>
      </c>
      <c r="J40" s="232" t="e">
        <f t="shared" si="12"/>
        <v>#VALUE!</v>
      </c>
    </row>
    <row r="41" spans="2:14">
      <c r="D41" s="233" t="s">
        <v>717</v>
      </c>
      <c r="E41" s="251" t="str">
        <f>+"gCO2eq per" &amp; 'DQ Template'!K27 &amp; "- nm"</f>
        <v>gCO2eq per- nm</v>
      </c>
      <c r="F41" s="236">
        <f>+F52*F87</f>
        <v>0</v>
      </c>
      <c r="G41" s="236">
        <f t="shared" ref="G41:I41" si="14">+G52*G87</f>
        <v>0</v>
      </c>
      <c r="H41" s="236">
        <f t="shared" si="14"/>
        <v>0</v>
      </c>
      <c r="I41" s="236">
        <f t="shared" si="14"/>
        <v>0</v>
      </c>
      <c r="J41" s="232" t="e">
        <f t="shared" si="12"/>
        <v>#VALUE!</v>
      </c>
    </row>
    <row r="42" spans="2:14">
      <c r="D42" s="237" t="s">
        <v>718</v>
      </c>
      <c r="E42" s="250" t="str">
        <f>+"grams fuel per " &amp; 'DQ Template'!$K$8 &amp; "- nm"</f>
        <v>grams fuel per - nm</v>
      </c>
      <c r="F42" s="247">
        <f>+F52*F88</f>
        <v>0</v>
      </c>
      <c r="G42" s="247">
        <f t="shared" ref="G42:J42" si="15">+G52*G88</f>
        <v>0</v>
      </c>
      <c r="H42" s="247">
        <f t="shared" si="15"/>
        <v>0</v>
      </c>
      <c r="I42" s="247">
        <f t="shared" si="15"/>
        <v>0</v>
      </c>
      <c r="J42" s="247">
        <f t="shared" si="15"/>
        <v>0</v>
      </c>
    </row>
    <row r="44" spans="2:14" ht="15">
      <c r="D44" s="205" t="s">
        <v>720</v>
      </c>
      <c r="E44" s="181"/>
      <c r="F44" s="193"/>
    </row>
    <row r="45" spans="2:14">
      <c r="D45" s="182" t="s">
        <v>721</v>
      </c>
      <c r="E45" s="196" t="s">
        <v>722</v>
      </c>
      <c r="F45" s="194">
        <f>+F95</f>
        <v>731</v>
      </c>
      <c r="J45" s="335"/>
    </row>
    <row r="46" spans="2:14">
      <c r="D46" s="188" t="s">
        <v>723</v>
      </c>
      <c r="E46" s="197" t="s">
        <v>724</v>
      </c>
      <c r="F46" s="195">
        <f>+F96</f>
        <v>1461</v>
      </c>
    </row>
    <row r="48" spans="2:14" ht="15.75">
      <c r="B48" s="248" t="s">
        <v>725</v>
      </c>
      <c r="C48" s="248"/>
      <c r="D48" s="248"/>
      <c r="E48" s="248"/>
      <c r="F48" s="248"/>
      <c r="G48" s="248"/>
      <c r="H48" s="248"/>
      <c r="I48" s="248"/>
      <c r="J48" s="248"/>
      <c r="K48" s="248"/>
      <c r="L48" s="248"/>
      <c r="M48" s="248"/>
      <c r="N48" s="248"/>
    </row>
    <row r="49" spans="2:14" ht="15" outlineLevel="1" thickBot="1"/>
    <row r="50" spans="2:14" ht="15.75" outlineLevel="1" thickBot="1">
      <c r="D50" s="296" t="s">
        <v>726</v>
      </c>
      <c r="E50" s="297" t="s">
        <v>2</v>
      </c>
      <c r="F50" s="298" t="s">
        <v>681</v>
      </c>
      <c r="G50" s="298" t="s">
        <v>622</v>
      </c>
      <c r="H50" s="298" t="s">
        <v>623</v>
      </c>
      <c r="I50" s="298" t="s">
        <v>624</v>
      </c>
      <c r="J50" s="299" t="s">
        <v>665</v>
      </c>
      <c r="L50" s="422"/>
      <c r="M50" s="422"/>
      <c r="N50" s="422"/>
    </row>
    <row r="51" spans="2:14" s="170" customFormat="1" ht="15.75" outlineLevel="1" thickBot="1">
      <c r="D51" s="56"/>
      <c r="E51" s="300"/>
      <c r="F51" s="301">
        <f>+IF('DQ Template'!$S$6="N/A",0,'DQ Template'!$S$6)</f>
        <v>0</v>
      </c>
      <c r="G51" s="302">
        <f>+IF('DQ Template'!$T$6="N/A",0,'DQ Template'!$T$6)</f>
        <v>0</v>
      </c>
      <c r="H51" s="302">
        <f>+IF('DQ Template'!$U$6="N/A",0,'DQ Template'!$U$6)</f>
        <v>0</v>
      </c>
      <c r="I51" s="302">
        <f>+IF('DQ Template'!$V$6="N/A",0,'DQ Template'!$V$6)</f>
        <v>0</v>
      </c>
      <c r="J51" s="303"/>
      <c r="L51" s="340"/>
      <c r="M51" s="341"/>
      <c r="N51" s="341"/>
    </row>
    <row r="52" spans="2:14" s="170" customFormat="1" ht="15.75" outlineLevel="1">
      <c r="D52" s="203"/>
      <c r="E52" s="336"/>
      <c r="F52" s="253">
        <f>+IF(F51="Alternative Fuel 1",1,0)</f>
        <v>0</v>
      </c>
      <c r="G52" s="253">
        <f>+IF(G51="Alternative Fuel 2",1,0)</f>
        <v>0</v>
      </c>
      <c r="H52" s="253">
        <f>+IF(H51="Alternative Fuel 3",1,0)</f>
        <v>0</v>
      </c>
      <c r="I52" s="253">
        <f>+IF(I51="Alternative Fuel 4",1,0)</f>
        <v>0</v>
      </c>
      <c r="J52" s="252"/>
      <c r="L52" s="342"/>
      <c r="M52" s="337"/>
      <c r="N52" s="338"/>
    </row>
    <row r="53" spans="2:14" s="170" customFormat="1" ht="12.6" customHeight="1" outlineLevel="1">
      <c r="D53" s="56" t="s">
        <v>699</v>
      </c>
      <c r="E53" s="201"/>
      <c r="F53" s="202"/>
      <c r="G53" s="202"/>
      <c r="H53" s="202"/>
      <c r="I53" s="202"/>
      <c r="J53" s="202"/>
      <c r="L53" s="342"/>
      <c r="M53" s="337"/>
      <c r="N53" s="338"/>
    </row>
    <row r="54" spans="2:14" outlineLevel="1">
      <c r="B54" s="326"/>
      <c r="D54" s="182" t="s">
        <v>700</v>
      </c>
      <c r="E54" s="313" t="s">
        <v>563</v>
      </c>
      <c r="F54" s="323" t="e">
        <f>+SUM(F55:F56)</f>
        <v>#VALUE!</v>
      </c>
      <c r="G54" s="183" t="e">
        <f t="shared" ref="G54:I54" si="16">+SUM(G55:G56)</f>
        <v>#VALUE!</v>
      </c>
      <c r="H54" s="183" t="e">
        <f>+SUM(H55:H56)</f>
        <v>#VALUE!</v>
      </c>
      <c r="I54" s="184" t="e">
        <f t="shared" si="16"/>
        <v>#VALUE!</v>
      </c>
      <c r="J54" s="192" t="e">
        <f>+SUM(F54:I54)</f>
        <v>#VALUE!</v>
      </c>
      <c r="L54" s="342"/>
      <c r="M54" s="337"/>
      <c r="N54" s="339"/>
    </row>
    <row r="55" spans="2:14" outlineLevel="1">
      <c r="B55" s="326"/>
      <c r="D55" s="233" t="s">
        <v>701</v>
      </c>
      <c r="E55" s="314" t="s">
        <v>563</v>
      </c>
      <c r="F55" s="324" t="e">
        <f>+Calculations!C15</f>
        <v>#VALUE!</v>
      </c>
      <c r="G55" s="185" t="e">
        <f>+Calculations!D15</f>
        <v>#VALUE!</v>
      </c>
      <c r="H55" s="185" t="e">
        <f>+Calculations!E15</f>
        <v>#VALUE!</v>
      </c>
      <c r="I55" s="186" t="e">
        <f>+Calculations!F15</f>
        <v>#VALUE!</v>
      </c>
      <c r="J55" s="187" t="e">
        <f t="shared" ref="J55:J56" si="17">+SUM(F55:I55)</f>
        <v>#VALUE!</v>
      </c>
      <c r="L55" s="342"/>
      <c r="M55" s="337"/>
      <c r="N55" s="339"/>
    </row>
    <row r="56" spans="2:14" outlineLevel="1">
      <c r="B56" s="326"/>
      <c r="D56" s="188" t="s">
        <v>702</v>
      </c>
      <c r="E56" s="315" t="s">
        <v>563</v>
      </c>
      <c r="F56" s="325" t="e">
        <f>+Calculations!C16</f>
        <v>#VALUE!</v>
      </c>
      <c r="G56" s="189" t="e">
        <f>+Calculations!D16</f>
        <v>#VALUE!</v>
      </c>
      <c r="H56" s="189" t="e">
        <f>+Calculations!E16</f>
        <v>#VALUE!</v>
      </c>
      <c r="I56" s="190" t="e">
        <f>+Calculations!F16</f>
        <v>#VALUE!</v>
      </c>
      <c r="J56" s="191" t="e">
        <f t="shared" si="17"/>
        <v>#VALUE!</v>
      </c>
      <c r="L56" s="342"/>
      <c r="M56" s="337"/>
      <c r="N56" s="339"/>
    </row>
    <row r="57" spans="2:14" s="170" customFormat="1" outlineLevel="1">
      <c r="D57" s="198"/>
      <c r="E57" s="199"/>
      <c r="J57" s="193"/>
      <c r="L57" s="342"/>
      <c r="M57" s="337"/>
      <c r="N57" s="339"/>
    </row>
    <row r="58" spans="2:14" s="170" customFormat="1" outlineLevel="1">
      <c r="D58" s="241" t="s">
        <v>727</v>
      </c>
      <c r="E58" s="277" t="s">
        <v>78</v>
      </c>
      <c r="F58" s="282">
        <f>+IFERROR(F55/F54,1)</f>
        <v>1</v>
      </c>
      <c r="G58" s="283">
        <f>+IFERROR(G55/G54,1)</f>
        <v>1</v>
      </c>
      <c r="H58" s="283">
        <f>+IFERROR(H55/H54,1)</f>
        <v>1</v>
      </c>
      <c r="I58" s="284">
        <f>+IFERROR(I55/I54,1)</f>
        <v>1</v>
      </c>
      <c r="J58" s="327" t="e">
        <f>+SUM(F60:I60)/SUM(F59:I59)</f>
        <v>#VALUE!</v>
      </c>
      <c r="L58" s="342"/>
      <c r="M58" s="337"/>
      <c r="N58" s="339"/>
    </row>
    <row r="59" spans="2:14" s="170" customFormat="1" outlineLevel="1">
      <c r="D59" s="233" t="s">
        <v>713</v>
      </c>
      <c r="E59" s="278" t="s">
        <v>563</v>
      </c>
      <c r="F59" s="285" t="e">
        <f>+SUM('DQ Template'!S8:S27)*Calculations!G6</f>
        <v>#VALUE!</v>
      </c>
      <c r="G59" s="286" t="e">
        <f>+SUM('DQ Template'!T8:T27)*Calculations!G7</f>
        <v>#VALUE!</v>
      </c>
      <c r="H59" s="286" t="e">
        <f>+SUM('DQ Template'!U8:U27)*Calculations!G8</f>
        <v>#VALUE!</v>
      </c>
      <c r="I59" s="287" t="e">
        <f>+SUM('DQ Template'!V8:V27)*Calculations!G9</f>
        <v>#VALUE!</v>
      </c>
      <c r="J59" s="328" t="e">
        <f>+SUM(F59:I59)</f>
        <v>#VALUE!</v>
      </c>
      <c r="L59" s="343"/>
      <c r="M59" s="337"/>
      <c r="N59" s="339"/>
    </row>
    <row r="60" spans="2:14" s="170" customFormat="1" outlineLevel="1">
      <c r="D60" s="237" t="s">
        <v>728</v>
      </c>
      <c r="E60" s="309" t="s">
        <v>563</v>
      </c>
      <c r="F60" s="310" t="e">
        <f>+F58*F59</f>
        <v>#VALUE!</v>
      </c>
      <c r="G60" s="311" t="e">
        <f t="shared" ref="G60:I60" si="18">+G58*G59</f>
        <v>#VALUE!</v>
      </c>
      <c r="H60" s="311" t="e">
        <f t="shared" si="18"/>
        <v>#VALUE!</v>
      </c>
      <c r="I60" s="312" t="e">
        <f t="shared" si="18"/>
        <v>#VALUE!</v>
      </c>
      <c r="J60" s="329" t="e">
        <f>+SUM(F60:I60)</f>
        <v>#VALUE!</v>
      </c>
      <c r="L60" s="343"/>
      <c r="M60" s="337"/>
      <c r="N60" s="339"/>
    </row>
    <row r="61" spans="2:14" s="170" customFormat="1" outlineLevel="1">
      <c r="D61" s="198"/>
      <c r="E61" s="199"/>
      <c r="F61" s="288"/>
      <c r="G61" s="288"/>
      <c r="H61" s="288"/>
      <c r="I61" s="288"/>
      <c r="J61" s="289"/>
    </row>
    <row r="62" spans="2:14" s="170" customFormat="1" ht="15" outlineLevel="1">
      <c r="D62" s="204" t="s">
        <v>707</v>
      </c>
      <c r="E62" s="199"/>
      <c r="F62" s="289"/>
      <c r="G62" s="289"/>
      <c r="H62" s="289"/>
      <c r="I62" s="289"/>
      <c r="J62" s="289"/>
    </row>
    <row r="63" spans="2:14" s="170" customFormat="1" outlineLevel="1">
      <c r="B63" s="326"/>
      <c r="D63" s="182" t="s">
        <v>729</v>
      </c>
      <c r="E63" s="313" t="s">
        <v>619</v>
      </c>
      <c r="F63" s="316">
        <f>+INDEX(References!$C$7:$C$16,MATCH($E$2,References!$B$7:$B$16,0))</f>
        <v>91.60123456790123</v>
      </c>
      <c r="G63" s="290">
        <f>+INDEX(References!$C$7:$C$16,MATCH($E$2,References!$B$7:$B$16,0))</f>
        <v>91.60123456790123</v>
      </c>
      <c r="H63" s="290">
        <f>+INDEX(References!$C$7:$C$16,MATCH($E$2,References!$B$7:$B$16,0))</f>
        <v>91.60123456790123</v>
      </c>
      <c r="I63" s="383">
        <f>+INDEX(References!$C$7:$C$16,MATCH($E$2,References!$B$7:$B$16,0))</f>
        <v>91.60123456790123</v>
      </c>
      <c r="J63" s="385"/>
    </row>
    <row r="64" spans="2:14" outlineLevel="1">
      <c r="B64" s="326"/>
      <c r="D64" s="233" t="s">
        <v>708</v>
      </c>
      <c r="E64" s="314" t="s">
        <v>709</v>
      </c>
      <c r="F64" s="317" t="e">
        <f>+F52*(F63-F76)*F74</f>
        <v>#VALUE!</v>
      </c>
      <c r="G64" s="291" t="e">
        <f>+G52*(G63-G76)*G74</f>
        <v>#VALUE!</v>
      </c>
      <c r="H64" s="291" t="e">
        <f>+H52*(H63-H76)*H74</f>
        <v>#VALUE!</v>
      </c>
      <c r="I64" s="292" t="e">
        <f>+I52*(I63-I76)*I74</f>
        <v>#VALUE!</v>
      </c>
      <c r="J64" s="384" t="e">
        <f>+SUM(F64:I64)</f>
        <v>#VALUE!</v>
      </c>
    </row>
    <row r="65" spans="2:13" outlineLevel="1">
      <c r="B65" s="326"/>
      <c r="D65" s="188" t="s">
        <v>708</v>
      </c>
      <c r="E65" s="315" t="s">
        <v>78</v>
      </c>
      <c r="F65" s="318" t="e">
        <f>+(F63-F76)/F63*F52</f>
        <v>#VALUE!</v>
      </c>
      <c r="G65" s="293" t="e">
        <f>+(G63-G76)/G63*G52</f>
        <v>#VALUE!</v>
      </c>
      <c r="H65" s="293" t="e">
        <f>+(H63-H76)/H63*H52</f>
        <v>#VALUE!</v>
      </c>
      <c r="I65" s="294" t="e">
        <f>+(I63-I76)/I63*I52</f>
        <v>#VALUE!</v>
      </c>
      <c r="J65" s="295" t="e">
        <f>+AVERAGEIF(F65:I65,"&lt;&gt;0")</f>
        <v>#VALUE!</v>
      </c>
    </row>
    <row r="66" spans="2:13" outlineLevel="1">
      <c r="B66" s="326"/>
      <c r="D66" s="326"/>
      <c r="E66" s="199"/>
      <c r="F66" s="288"/>
      <c r="G66" s="288"/>
      <c r="H66" s="288"/>
      <c r="I66" s="288"/>
      <c r="J66" s="288"/>
    </row>
    <row r="67" spans="2:13" ht="15" outlineLevel="1">
      <c r="B67" s="326"/>
      <c r="D67" s="204" t="s">
        <v>710</v>
      </c>
      <c r="E67" s="199"/>
      <c r="F67" s="289"/>
      <c r="G67" s="289"/>
      <c r="H67" s="289"/>
      <c r="I67" s="289"/>
      <c r="J67" s="289"/>
    </row>
    <row r="68" spans="2:13" outlineLevel="1">
      <c r="B68" s="326"/>
      <c r="D68" s="182" t="s">
        <v>729</v>
      </c>
      <c r="E68" s="313" t="s">
        <v>619</v>
      </c>
      <c r="F68" s="316">
        <f>+F63</f>
        <v>91.60123456790123</v>
      </c>
      <c r="G68" s="316">
        <f t="shared" ref="G68:I68" si="19">+G63</f>
        <v>91.60123456790123</v>
      </c>
      <c r="H68" s="316">
        <f t="shared" si="19"/>
        <v>91.60123456790123</v>
      </c>
      <c r="I68" s="316">
        <f t="shared" si="19"/>
        <v>91.60123456790123</v>
      </c>
      <c r="J68" s="385"/>
    </row>
    <row r="69" spans="2:13" outlineLevel="1">
      <c r="B69" s="326"/>
      <c r="D69" s="233" t="s">
        <v>708</v>
      </c>
      <c r="E69" s="314" t="s">
        <v>709</v>
      </c>
      <c r="F69" s="317" t="e">
        <f>F$52*(F68-F85)*F83</f>
        <v>#VALUE!</v>
      </c>
      <c r="G69" s="317" t="e">
        <f t="shared" ref="G69:I69" si="20">G$52*(G68-G85)*G83</f>
        <v>#VALUE!</v>
      </c>
      <c r="H69" s="317" t="e">
        <f>H$52*(H68-H85)*H83</f>
        <v>#VALUE!</v>
      </c>
      <c r="I69" s="317" t="e">
        <f t="shared" si="20"/>
        <v>#VALUE!</v>
      </c>
      <c r="J69" s="317" t="e">
        <f>+SUM(F69:I69)</f>
        <v>#VALUE!</v>
      </c>
      <c r="M69" s="366"/>
    </row>
    <row r="70" spans="2:13" outlineLevel="1">
      <c r="B70" s="326"/>
      <c r="D70" s="188" t="s">
        <v>708</v>
      </c>
      <c r="E70" s="315" t="s">
        <v>78</v>
      </c>
      <c r="F70" s="318" t="e">
        <f>+(F68-F85)/F68*F52</f>
        <v>#VALUE!</v>
      </c>
      <c r="G70" s="318" t="e">
        <f t="shared" ref="G70:I70" si="21">+(G68-G85)/G68*G52</f>
        <v>#VALUE!</v>
      </c>
      <c r="H70" s="318" t="e">
        <f>+(H68-H85)/H68*H52</f>
        <v>#VALUE!</v>
      </c>
      <c r="I70" s="318" t="e">
        <f t="shared" si="21"/>
        <v>#VALUE!</v>
      </c>
      <c r="J70" s="318" t="e">
        <f>+AVERAGEIF(F70:I70,"&lt;&gt;0")</f>
        <v>#VALUE!</v>
      </c>
    </row>
    <row r="71" spans="2:13" s="170" customFormat="1" outlineLevel="1">
      <c r="D71" s="198"/>
      <c r="E71" s="199"/>
      <c r="F71" s="193"/>
      <c r="G71" s="193"/>
      <c r="H71" s="193"/>
      <c r="I71" s="193"/>
      <c r="J71" s="193"/>
      <c r="K71" s="200"/>
    </row>
    <row r="72" spans="2:13" s="170" customFormat="1" ht="15" outlineLevel="1">
      <c r="D72" s="204" t="s">
        <v>711</v>
      </c>
      <c r="E72" s="199"/>
      <c r="F72" s="193"/>
      <c r="G72" s="193"/>
      <c r="H72" s="193"/>
      <c r="I72" s="193"/>
      <c r="J72" s="193"/>
      <c r="K72" s="200"/>
    </row>
    <row r="73" spans="2:13" outlineLevel="1">
      <c r="B73" s="326"/>
      <c r="D73" s="241" t="s">
        <v>53</v>
      </c>
      <c r="E73" s="277" t="s">
        <v>705</v>
      </c>
      <c r="F73" s="319">
        <f>+SUM('DQ Template'!S8:S27)*F58</f>
        <v>0</v>
      </c>
      <c r="G73" s="242">
        <f>+SUM('DQ Template'!T8:T27)*G58</f>
        <v>0</v>
      </c>
      <c r="H73" s="242">
        <f>+SUM('DQ Template'!U8:U27)*H58</f>
        <v>0</v>
      </c>
      <c r="I73" s="243">
        <f>+SUM('DQ Template'!V8:V27)*I58</f>
        <v>0</v>
      </c>
      <c r="J73" s="244">
        <f>+SUM(F73:I73)</f>
        <v>0</v>
      </c>
    </row>
    <row r="74" spans="2:13" outlineLevel="1">
      <c r="B74" s="326"/>
      <c r="D74" s="233" t="s">
        <v>713</v>
      </c>
      <c r="E74" s="278" t="s">
        <v>563</v>
      </c>
      <c r="F74" s="320" t="e">
        <f>+Calculations!G6*F73</f>
        <v>#VALUE!</v>
      </c>
      <c r="G74" s="234" t="e">
        <f>+Calculations!G7*G73</f>
        <v>#VALUE!</v>
      </c>
      <c r="H74" s="234" t="e">
        <f>+Calculations!G8*H73</f>
        <v>#VALUE!</v>
      </c>
      <c r="I74" s="235" t="e">
        <f>+Calculations!G9*I73</f>
        <v>#VALUE!</v>
      </c>
      <c r="J74" s="236" t="e">
        <f>+SUM(F74:I74)</f>
        <v>#VALUE!</v>
      </c>
    </row>
    <row r="75" spans="2:13" outlineLevel="1">
      <c r="B75" s="326"/>
      <c r="D75" s="233" t="s">
        <v>714</v>
      </c>
      <c r="E75" s="278" t="s">
        <v>709</v>
      </c>
      <c r="F75" s="320" t="e">
        <f>+F74*F76</f>
        <v>#VALUE!</v>
      </c>
      <c r="G75" s="234" t="e">
        <f>+G74*G76</f>
        <v>#VALUE!</v>
      </c>
      <c r="H75" s="234" t="e">
        <f>+H74*H76</f>
        <v>#VALUE!</v>
      </c>
      <c r="I75" s="235" t="e">
        <f>+I74*I76</f>
        <v>#VALUE!</v>
      </c>
      <c r="J75" s="236" t="e">
        <f>+SUM(F75:I75)</f>
        <v>#VALUE!</v>
      </c>
    </row>
    <row r="76" spans="2:13" outlineLevel="1">
      <c r="B76" s="326"/>
      <c r="D76" s="233" t="s">
        <v>715</v>
      </c>
      <c r="E76" s="278" t="s">
        <v>619</v>
      </c>
      <c r="F76" s="320" t="e">
        <f>+Calculations!K6</f>
        <v>#VALUE!</v>
      </c>
      <c r="G76" s="234" t="e">
        <f>+Calculations!K7</f>
        <v>#VALUE!</v>
      </c>
      <c r="H76" s="234" t="e">
        <f>+Calculations!K8</f>
        <v>#VALUE!</v>
      </c>
      <c r="I76" s="235" t="e">
        <f>+Calculations!K9</f>
        <v>#VALUE!</v>
      </c>
      <c r="J76" s="236" t="e">
        <f>+F74/J74*F76+G74/J74*G76+H74/J74*H76+I74/J74*I76</f>
        <v>#VALUE!</v>
      </c>
    </row>
    <row r="77" spans="2:13" outlineLevel="1">
      <c r="B77" s="326"/>
      <c r="D77" s="233" t="s">
        <v>716</v>
      </c>
      <c r="E77" s="278" t="str">
        <f>+'DQ Template'!$K$8 &amp; "- nm"</f>
        <v>- nm</v>
      </c>
      <c r="F77" s="320" t="e">
        <f>+(F74/$J$74)*J77</f>
        <v>#VALUE!</v>
      </c>
      <c r="G77" s="234" t="e">
        <f>+(G74/$J$74)*J77</f>
        <v>#VALUE!</v>
      </c>
      <c r="H77" s="234" t="e">
        <f>+(H74/$J$74)*J77</f>
        <v>#VALUE!</v>
      </c>
      <c r="I77" s="235" t="e">
        <f>+(I74/$J$74)*J77</f>
        <v>#VALUE!</v>
      </c>
      <c r="J77" s="236" t="e">
        <f>+Calculations!E86*J58</f>
        <v>#VALUE!</v>
      </c>
    </row>
    <row r="78" spans="2:13" outlineLevel="1">
      <c r="B78" s="326"/>
      <c r="D78" s="233" t="s">
        <v>717</v>
      </c>
      <c r="E78" s="278" t="str">
        <f>+"gCO2eq per" &amp; 'DQ Template'!K8 &amp; "- nm"</f>
        <v>gCO2eq per- nm</v>
      </c>
      <c r="F78" s="320">
        <f>+IFERROR((F75*1000000)/F77,0)</f>
        <v>0</v>
      </c>
      <c r="G78" s="234">
        <f>+IFERROR((G75*1000000)/G77,0)</f>
        <v>0</v>
      </c>
      <c r="H78" s="234">
        <f>+IFERROR((H75*1000000)/H77,0)</f>
        <v>0</v>
      </c>
      <c r="I78" s="235">
        <f>+IFERROR((I75*1000000)/I77,0)</f>
        <v>0</v>
      </c>
      <c r="J78" s="236" t="e">
        <f>+(J75*1000000)/J77</f>
        <v>#VALUE!</v>
      </c>
    </row>
    <row r="79" spans="2:13" outlineLevel="1">
      <c r="B79" s="326"/>
      <c r="D79" s="237" t="s">
        <v>718</v>
      </c>
      <c r="E79" s="309" t="str">
        <f>+"grams fuel per " &amp; 'DQ Template'!$K$8 &amp; "- nm"</f>
        <v>grams fuel per - nm</v>
      </c>
      <c r="F79" s="321">
        <f>+IFERROR(F73*1000000/F77,0)</f>
        <v>0</v>
      </c>
      <c r="G79" s="238">
        <f>+IFERROR(G73*1000000/G77,0)</f>
        <v>0</v>
      </c>
      <c r="H79" s="238">
        <f>+IFERROR(H73*1000000/H77,0)</f>
        <v>0</v>
      </c>
      <c r="I79" s="239">
        <f>+IFERROR(I73*1000000/I77,0)</f>
        <v>0</v>
      </c>
      <c r="J79" s="240">
        <f>+IFERROR(J73*1000000/J77,0)</f>
        <v>0</v>
      </c>
    </row>
    <row r="80" spans="2:13" s="170" customFormat="1" outlineLevel="1">
      <c r="D80" s="198"/>
      <c r="E80" s="199"/>
      <c r="F80" s="231"/>
      <c r="G80" s="231"/>
      <c r="H80" s="231"/>
      <c r="I80" s="193"/>
      <c r="J80" s="193"/>
    </row>
    <row r="81" spans="2:13" s="170" customFormat="1" ht="15" outlineLevel="1">
      <c r="D81" s="204" t="s">
        <v>719</v>
      </c>
      <c r="E81" s="199"/>
      <c r="F81" s="193"/>
      <c r="G81" s="193"/>
      <c r="H81" s="193"/>
      <c r="I81" s="193"/>
      <c r="J81" s="193"/>
    </row>
    <row r="82" spans="2:13" s="170" customFormat="1" outlineLevel="1">
      <c r="D82" s="241" t="s">
        <v>53</v>
      </c>
      <c r="E82" s="277" t="s">
        <v>705</v>
      </c>
      <c r="F82" s="319">
        <f>+F73</f>
        <v>0</v>
      </c>
      <c r="G82" s="319">
        <f t="shared" ref="G82:I82" si="22">+G73</f>
        <v>0</v>
      </c>
      <c r="H82" s="319">
        <f t="shared" si="22"/>
        <v>0</v>
      </c>
      <c r="I82" s="319">
        <f t="shared" si="22"/>
        <v>0</v>
      </c>
      <c r="J82" s="244">
        <f>+SUM(F82:I82)</f>
        <v>0</v>
      </c>
    </row>
    <row r="83" spans="2:13" s="170" customFormat="1" outlineLevel="1">
      <c r="D83" s="233" t="s">
        <v>713</v>
      </c>
      <c r="E83" s="278" t="s">
        <v>563</v>
      </c>
      <c r="F83" s="320" t="e">
        <f>+F74</f>
        <v>#VALUE!</v>
      </c>
      <c r="G83" s="320" t="e">
        <f t="shared" ref="G83:I83" si="23">+G74</f>
        <v>#VALUE!</v>
      </c>
      <c r="H83" s="320" t="e">
        <f t="shared" si="23"/>
        <v>#VALUE!</v>
      </c>
      <c r="I83" s="320" t="e">
        <f t="shared" si="23"/>
        <v>#VALUE!</v>
      </c>
      <c r="J83" s="236" t="e">
        <f>+SUM(F83:I83)</f>
        <v>#VALUE!</v>
      </c>
    </row>
    <row r="84" spans="2:13" s="170" customFormat="1" outlineLevel="1">
      <c r="D84" s="233" t="s">
        <v>714</v>
      </c>
      <c r="E84" s="278" t="s">
        <v>709</v>
      </c>
      <c r="F84" s="320" t="e">
        <f>+F83*F85</f>
        <v>#VALUE!</v>
      </c>
      <c r="G84" s="234" t="e">
        <f>+G83*G85</f>
        <v>#VALUE!</v>
      </c>
      <c r="H84" s="234" t="e">
        <f>+H83*H85</f>
        <v>#VALUE!</v>
      </c>
      <c r="I84" s="235" t="e">
        <f>+I83*I85</f>
        <v>#VALUE!</v>
      </c>
      <c r="J84" s="236" t="e">
        <f>+SUM(F84:I84)</f>
        <v>#VALUE!</v>
      </c>
      <c r="M84" s="367"/>
    </row>
    <row r="85" spans="2:13" s="170" customFormat="1" outlineLevel="1">
      <c r="D85" s="233" t="s">
        <v>715</v>
      </c>
      <c r="E85" s="278" t="s">
        <v>619</v>
      </c>
      <c r="F85" s="320" t="e">
        <f>+Calculations!L6</f>
        <v>#VALUE!</v>
      </c>
      <c r="G85" s="320" t="e">
        <f>+Calculations!L7</f>
        <v>#VALUE!</v>
      </c>
      <c r="H85" s="320" t="e">
        <f>+Calculations!L8</f>
        <v>#VALUE!</v>
      </c>
      <c r="I85" s="320" t="e">
        <f>+Calculations!L9</f>
        <v>#VALUE!</v>
      </c>
      <c r="J85" s="236" t="e">
        <f>+F83/J83*F85+G83/J83*G85+H83/J83*H85+I83/J83*I85</f>
        <v>#VALUE!</v>
      </c>
    </row>
    <row r="86" spans="2:13" s="170" customFormat="1" outlineLevel="1">
      <c r="D86" s="233" t="s">
        <v>716</v>
      </c>
      <c r="E86" s="278" t="str">
        <f>+'DQ Template'!$K$8 &amp; "- nm"</f>
        <v>- nm</v>
      </c>
      <c r="F86" s="320" t="e">
        <f>+F77</f>
        <v>#VALUE!</v>
      </c>
      <c r="G86" s="320" t="e">
        <f t="shared" ref="G86:I86" si="24">+G77</f>
        <v>#VALUE!</v>
      </c>
      <c r="H86" s="320" t="e">
        <f t="shared" si="24"/>
        <v>#VALUE!</v>
      </c>
      <c r="I86" s="320" t="e">
        <f t="shared" si="24"/>
        <v>#VALUE!</v>
      </c>
      <c r="J86" s="236" t="e">
        <f>+Calculations!E86*J58</f>
        <v>#VALUE!</v>
      </c>
    </row>
    <row r="87" spans="2:13" s="170" customFormat="1" outlineLevel="1">
      <c r="D87" s="233" t="s">
        <v>717</v>
      </c>
      <c r="E87" s="278" t="str">
        <f>+"gCO2eq per" &amp; 'DQ Template'!K17 &amp; "- nm"</f>
        <v>gCO2eq per- nm</v>
      </c>
      <c r="F87" s="320">
        <f>+IFERROR((F84*1000000)/F86,0)</f>
        <v>0</v>
      </c>
      <c r="G87" s="234">
        <f>+IFERROR((G84*1000000)/G86,0)</f>
        <v>0</v>
      </c>
      <c r="H87" s="234">
        <f>+IFERROR((H84*1000000)/H86,0)</f>
        <v>0</v>
      </c>
      <c r="I87" s="235">
        <f>+IFERROR((I84*1000000)/I86,0)</f>
        <v>0</v>
      </c>
      <c r="J87" s="236" t="e">
        <f>+(J84*1000000)/J86</f>
        <v>#VALUE!</v>
      </c>
    </row>
    <row r="88" spans="2:13" s="170" customFormat="1" outlineLevel="1">
      <c r="D88" s="237" t="s">
        <v>718</v>
      </c>
      <c r="E88" s="309" t="str">
        <f>+"grams fuel per " &amp; 'DQ Template'!$K$8 &amp; "- nm"</f>
        <v>grams fuel per - nm</v>
      </c>
      <c r="F88" s="321">
        <f>+F79</f>
        <v>0</v>
      </c>
      <c r="G88" s="321">
        <f t="shared" ref="G88:I88" si="25">+G79</f>
        <v>0</v>
      </c>
      <c r="H88" s="321">
        <f t="shared" si="25"/>
        <v>0</v>
      </c>
      <c r="I88" s="321">
        <f t="shared" si="25"/>
        <v>0</v>
      </c>
      <c r="J88" s="240">
        <f>+IFERROR(J82*1000000/J86,0)</f>
        <v>0</v>
      </c>
    </row>
    <row r="89" spans="2:13" s="170" customFormat="1" outlineLevel="1">
      <c r="H89" s="231"/>
      <c r="I89" s="193"/>
      <c r="J89" s="193"/>
    </row>
    <row r="90" spans="2:13" s="170" customFormat="1" ht="15" outlineLevel="1">
      <c r="D90" s="204" t="s">
        <v>730</v>
      </c>
      <c r="E90" s="199"/>
      <c r="F90" s="193"/>
      <c r="G90" s="193"/>
      <c r="H90" s="193"/>
      <c r="I90" s="193"/>
      <c r="J90" s="193"/>
    </row>
    <row r="91" spans="2:13" outlineLevel="1">
      <c r="B91" s="326"/>
      <c r="D91" s="241" t="s">
        <v>731</v>
      </c>
      <c r="E91" s="277" t="s">
        <v>705</v>
      </c>
      <c r="F91" s="319">
        <f>+Calculations!C17</f>
        <v>0</v>
      </c>
      <c r="G91" s="242">
        <f>+Calculations!D17</f>
        <v>0</v>
      </c>
      <c r="H91" s="242">
        <f>+Calculations!E17</f>
        <v>0</v>
      </c>
      <c r="I91" s="243">
        <f>+Calculations!F17</f>
        <v>0</v>
      </c>
      <c r="J91" s="244">
        <f>+SUM(F91:I91)</f>
        <v>0</v>
      </c>
    </row>
    <row r="92" spans="2:13" outlineLevel="1">
      <c r="B92" s="326"/>
      <c r="D92" s="237" t="s">
        <v>706</v>
      </c>
      <c r="E92" s="309" t="s">
        <v>705</v>
      </c>
      <c r="F92" s="322">
        <f>+Calculations!C18</f>
        <v>0</v>
      </c>
      <c r="G92" s="245">
        <f>+Calculations!D18</f>
        <v>0</v>
      </c>
      <c r="H92" s="245">
        <f>+Calculations!E18</f>
        <v>0</v>
      </c>
      <c r="I92" s="246">
        <f>+Calculations!F18</f>
        <v>0</v>
      </c>
      <c r="J92" s="247">
        <f>+SUM(F92:I92)</f>
        <v>0</v>
      </c>
    </row>
    <row r="93" spans="2:13" s="170" customFormat="1" outlineLevel="1">
      <c r="D93" s="198"/>
      <c r="E93" s="199"/>
      <c r="F93" s="193"/>
      <c r="G93" s="193"/>
      <c r="H93" s="193"/>
      <c r="I93" s="193"/>
      <c r="J93" s="193"/>
    </row>
    <row r="94" spans="2:13" s="170" customFormat="1" ht="12.95" customHeight="1" outlineLevel="1">
      <c r="D94" s="205" t="s">
        <v>720</v>
      </c>
      <c r="E94" s="181"/>
      <c r="F94" s="193"/>
      <c r="G94" s="193"/>
      <c r="H94" s="193"/>
      <c r="I94" s="193"/>
      <c r="J94" s="193"/>
    </row>
    <row r="95" spans="2:13" outlineLevel="1">
      <c r="B95" s="326"/>
      <c r="D95" s="182" t="s">
        <v>721</v>
      </c>
      <c r="E95" s="196" t="s">
        <v>722</v>
      </c>
      <c r="F95" s="194">
        <f>EDATE(MAX('DQ Template'!$O$8:$O$27),24)</f>
        <v>731</v>
      </c>
      <c r="H95" s="175"/>
    </row>
    <row r="96" spans="2:13" outlineLevel="1">
      <c r="B96" s="326"/>
      <c r="D96" s="188" t="s">
        <v>723</v>
      </c>
      <c r="E96" s="197" t="s">
        <v>724</v>
      </c>
      <c r="F96" s="195">
        <f>EDATE(DATE(YEAR(MAX('DQ Template'!$O$8:$O$27)),12,31),36)</f>
        <v>1461</v>
      </c>
    </row>
    <row r="97" spans="2:14">
      <c r="B97" s="170"/>
      <c r="H97" s="175"/>
    </row>
    <row r="98" spans="2:14">
      <c r="H98" s="175"/>
    </row>
    <row r="99" spans="2:14" ht="15.75" hidden="1" outlineLevel="1">
      <c r="B99" s="368" t="s">
        <v>732</v>
      </c>
      <c r="C99" s="368"/>
      <c r="D99" s="368"/>
      <c r="E99" s="368"/>
      <c r="F99" s="368"/>
      <c r="G99" s="368"/>
      <c r="H99" s="368"/>
      <c r="I99" s="368"/>
      <c r="J99" s="368"/>
      <c r="K99" s="368"/>
      <c r="L99" s="368"/>
      <c r="M99" s="368"/>
      <c r="N99" s="368"/>
    </row>
    <row r="100" spans="2:14" ht="15" hidden="1" outlineLevel="1" thickBot="1"/>
    <row r="101" spans="2:14" ht="15.75" hidden="1" outlineLevel="1" thickBot="1">
      <c r="D101" s="370" t="s">
        <v>254</v>
      </c>
      <c r="E101" s="379" t="s">
        <v>623</v>
      </c>
      <c r="H101" s="178"/>
    </row>
    <row r="102" spans="2:14" ht="15.75" hidden="1" outlineLevel="1" thickBot="1">
      <c r="D102" s="370" t="s">
        <v>733</v>
      </c>
      <c r="E102" s="177" t="s">
        <v>734</v>
      </c>
    </row>
    <row r="103" spans="2:14" ht="15.75" hidden="1" outlineLevel="1" thickBot="1">
      <c r="D103" s="370" t="s">
        <v>735</v>
      </c>
      <c r="E103" s="177" t="str">
        <f>+E2</f>
        <v>HFO</v>
      </c>
      <c r="H103" s="178"/>
    </row>
    <row r="104" spans="2:14" ht="15.75" hidden="1" outlineLevel="1" thickBot="1">
      <c r="D104" s="370" t="s">
        <v>736</v>
      </c>
      <c r="E104" s="177" t="s">
        <v>737</v>
      </c>
      <c r="H104" s="178"/>
    </row>
    <row r="105" spans="2:14" hidden="1" outlineLevel="1"/>
    <row r="106" spans="2:14" hidden="1" outlineLevel="1">
      <c r="D106" s="369" t="s">
        <v>738</v>
      </c>
      <c r="H106" s="179"/>
    </row>
    <row r="107" spans="2:14" hidden="1" outlineLevel="1">
      <c r="D107" s="241" t="s">
        <v>653</v>
      </c>
      <c r="E107" s="277" t="s">
        <v>563</v>
      </c>
      <c r="F107" s="244" t="e" cm="1">
        <f t="array" ref="F107">INDEX(F8:I8,1,VALUE(RIGHT(E101,1)))</f>
        <v>#VALUE!</v>
      </c>
    </row>
    <row r="108" spans="2:14" hidden="1" outlineLevel="1">
      <c r="D108" s="233" t="s">
        <v>739</v>
      </c>
      <c r="E108" s="278" t="s">
        <v>709</v>
      </c>
      <c r="F108" s="236" t="e" cm="1">
        <f t="array" ref="F108">IF(E102="Y",INDEX(F64:I64,1,VALUE(RIGHT(E101,1))),INDEX(F69:I69,1,VALUE(RIGHT(E101,1))))</f>
        <v>#VALUE!</v>
      </c>
    </row>
    <row r="109" spans="2:14" hidden="1" outlineLevel="1">
      <c r="D109" s="237" t="s">
        <v>716</v>
      </c>
      <c r="E109" s="309" t="str">
        <f>+'DQ Template'!$K$8 &amp; "- nm"</f>
        <v>- nm</v>
      </c>
      <c r="F109" s="247" t="e" cm="1">
        <f t="array" ref="F109">_xlfn.SWITCH(E104,"SMF",INDEX(F86:I86,1,VALUE(RIGHT(E101,1))),"Voyage",J86,"No TW",0)</f>
        <v>#VALUE!</v>
      </c>
    </row>
    <row r="110" spans="2:14" hidden="1" outlineLevel="1"/>
    <row r="111" spans="2:14" hidden="1" outlineLevel="1">
      <c r="D111" s="369" t="s">
        <v>740</v>
      </c>
    </row>
    <row r="112" spans="2:14" hidden="1" outlineLevel="1">
      <c r="D112" s="241" t="s">
        <v>653</v>
      </c>
      <c r="E112" s="277" t="s">
        <v>563</v>
      </c>
      <c r="F112" s="376"/>
      <c r="G112" s="366"/>
      <c r="H112" s="366"/>
    </row>
    <row r="113" spans="4:7" hidden="1" outlineLevel="1">
      <c r="D113" s="233" t="s">
        <v>739</v>
      </c>
      <c r="E113" s="278" t="s">
        <v>709</v>
      </c>
      <c r="F113" s="374"/>
    </row>
    <row r="114" spans="4:7" hidden="1" outlineLevel="1">
      <c r="D114" s="237" t="s">
        <v>716</v>
      </c>
      <c r="E114" s="309" t="str">
        <f>+'DQ Template'!$K$8 &amp; "- nm"</f>
        <v>- nm</v>
      </c>
      <c r="F114" s="375"/>
    </row>
    <row r="115" spans="4:7" ht="15" hidden="1" outlineLevel="1" thickBot="1"/>
    <row r="116" spans="4:7" ht="15.75" hidden="1" outlineLevel="1" thickBot="1">
      <c r="D116" s="371" t="s">
        <v>741</v>
      </c>
      <c r="E116" s="177" t="e">
        <f>AND(F112&lt;=F107,F113&lt;=F108,F114&lt;=F109)</f>
        <v>#VALUE!</v>
      </c>
    </row>
    <row r="117" spans="4:7" hidden="1" outlineLevel="1"/>
    <row r="118" spans="4:7" hidden="1" outlineLevel="1">
      <c r="D118" s="369" t="s">
        <v>742</v>
      </c>
    </row>
    <row r="119" spans="4:7" hidden="1" outlineLevel="1">
      <c r="D119" s="241" t="s">
        <v>53</v>
      </c>
      <c r="E119" s="277" t="s">
        <v>705</v>
      </c>
      <c r="F119" s="372" t="e" cm="1">
        <f t="array" ref="F119">IF(E116=FALSE,FALSE,INDEX(F82:I82,1,VALUE(RIGHT(E101,1)))*INDEX(F112:F114,MATCH(TRUE,F112:F114&gt;0,0))/INDEX(F107:F109,MATCH(TRUE,F112:F114&gt;0,0)))</f>
        <v>#VALUE!</v>
      </c>
      <c r="G119" s="373"/>
    </row>
    <row r="120" spans="4:7" hidden="1" outlineLevel="1">
      <c r="D120" s="233" t="s">
        <v>713</v>
      </c>
      <c r="E120" s="278" t="s">
        <v>563</v>
      </c>
      <c r="F120" s="236" t="e" cm="1">
        <f t="array" ref="F120">IF(E116=FALSE,FALSE,F107*INDEX(F112:F114,MATCH(TRUE,F112:F114&gt;0,0))/INDEX(F107:F109,MATCH(TRUE,F112:F114&gt;0,0)))</f>
        <v>#VALUE!</v>
      </c>
    </row>
    <row r="121" spans="4:7" hidden="1" outlineLevel="1">
      <c r="D121" s="233" t="s">
        <v>714</v>
      </c>
      <c r="E121" s="278" t="s">
        <v>709</v>
      </c>
      <c r="F121" s="377" t="e" cm="1">
        <f t="array" ref="F121">IF(E116=FALSE,FALSE,IF(E102="Y",INDEX(F75:I75,1,VALUE(RIGHT(E101,1))),INDEX(F84:I84,1,VALUE(RIGHT(E101,1))))*INDEX(F112:F114,MATCH(TRUE,F112:F114&gt;0,0))/INDEX(F107:F109,MATCH(TRUE,F112:F114&gt;0,0)))</f>
        <v>#VALUE!</v>
      </c>
    </row>
    <row r="122" spans="4:7" hidden="1" outlineLevel="1">
      <c r="D122" s="233" t="s">
        <v>708</v>
      </c>
      <c r="E122" s="278" t="s">
        <v>709</v>
      </c>
      <c r="F122" s="377" t="e" cm="1">
        <f t="array" ref="F122">IF(E116=FALSE,FALSE,F108*INDEX(F112:F114,MATCH(TRUE,F112:F114&gt;0,0))/INDEX(F107:F109,MATCH(TRUE,F112:F114&gt;0,0)))</f>
        <v>#VALUE!</v>
      </c>
    </row>
    <row r="123" spans="4:7" hidden="1" outlineLevel="1">
      <c r="D123" s="233" t="s">
        <v>708</v>
      </c>
      <c r="E123" s="278" t="s">
        <v>78</v>
      </c>
      <c r="F123" s="378" t="e" cm="1">
        <f t="array" ref="F123">IF(E116=FALSE,FALSE,IF(E102="Y",INDEX(F65:I65,1,VALUE(RIGHT(E101,1))),INDEX(F70:I70,1,VALUE(RIGHT(E101,1)))))</f>
        <v>#VALUE!</v>
      </c>
    </row>
    <row r="124" spans="4:7" hidden="1" outlineLevel="1">
      <c r="D124" s="233" t="s">
        <v>743</v>
      </c>
      <c r="E124" s="278" t="s">
        <v>619</v>
      </c>
      <c r="F124" s="377" t="e" cm="1">
        <f t="array" ref="F124">IF(E116=FALSE,FALSE,INDEX(F76:I76,1,VALUE(RIGHT(E101,1))))</f>
        <v>#VALUE!</v>
      </c>
    </row>
    <row r="125" spans="4:7" hidden="1" outlineLevel="1">
      <c r="D125" s="233" t="s">
        <v>744</v>
      </c>
      <c r="E125" s="278" t="s">
        <v>619</v>
      </c>
      <c r="F125" s="236" t="e" cm="1">
        <f t="array" ref="F125">IF(E116=FALSE,FALSE,INDEX(F85:I85,1,VALUE(RIGHT(E101,1))))</f>
        <v>#VALUE!</v>
      </c>
    </row>
    <row r="126" spans="4:7" hidden="1" outlineLevel="1">
      <c r="D126" s="233" t="s">
        <v>716</v>
      </c>
      <c r="E126" s="278" t="str">
        <f>+'DQ Template'!$K$8 &amp; "- nm"</f>
        <v>- nm</v>
      </c>
      <c r="F126" s="236" t="e" cm="1">
        <f t="array" ref="F126">IF(E116=FALSE,FALSE,IF(E104="No TW","Restricted",F109*INDEX(F112:F114,MATCH(TRUE,F112:F114&gt;0,0))/INDEX(F107:F109,MATCH(TRUE,F112:F114&gt;0,0))))</f>
        <v>#VALUE!</v>
      </c>
    </row>
    <row r="127" spans="4:7" hidden="1" outlineLevel="1">
      <c r="D127" s="233" t="s">
        <v>717</v>
      </c>
      <c r="E127" s="278" t="str">
        <f>+"gCO2eq per" &amp; 'DQ Template'!K55 &amp; "- nm"</f>
        <v>gCO2eq per- nm</v>
      </c>
      <c r="F127" s="236" t="e" cm="1">
        <f t="array" ref="F127">IF(E116=FALSE,FALSE, IF(E104="No TW","Restricted",IF(E102="Y",INDEX(F78:I78,1,VALUE(RIGHT(E101,1))),INDEX(F87:I87,1,VALUE(RIGHT(E101,1))))))</f>
        <v>#VALUE!</v>
      </c>
    </row>
    <row r="128" spans="4:7" hidden="1" outlineLevel="1">
      <c r="D128" s="237" t="s">
        <v>718</v>
      </c>
      <c r="E128" s="309" t="str">
        <f>+"grams fuel per " &amp; 'DQ Template'!$K$8 &amp; "- nm"</f>
        <v>grams fuel per - nm</v>
      </c>
      <c r="F128" s="240" t="e" cm="1">
        <f t="array" ref="F128">IF(E116=FALSE,FALSE,INDEX(F88:I88,1,VALUE(RIGHT(E101,1))))</f>
        <v>#VALUE!</v>
      </c>
    </row>
    <row r="129" hidden="1" outlineLevel="1"/>
    <row r="130" collapsed="1"/>
  </sheetData>
  <mergeCells count="1">
    <mergeCell ref="L50:N50"/>
  </mergeCells>
  <dataValidations disablePrompts="1" count="3">
    <dataValidation type="list" allowBlank="1" showInputMessage="1" showErrorMessage="1" sqref="E102" xr:uid="{7D2D7C69-1EF7-43FB-A1EA-BA91D58024F5}">
      <formula1>"Y, N"</formula1>
    </dataValidation>
    <dataValidation type="list" allowBlank="1" showInputMessage="1" showErrorMessage="1" sqref="E104" xr:uid="{8AC6BD16-E1CF-4FCE-A652-84E58A3E95BD}">
      <formula1>"SMF, Voyage, No TW"</formula1>
    </dataValidation>
    <dataValidation type="list" allowBlank="1" showInputMessage="1" showErrorMessage="1" sqref="E101" xr:uid="{D1FA2CC3-A902-4F9F-B397-8EAD7BE84B7A}">
      <formula1>"Fuel type 1, Fuel Type 2, Fuel Type 3, Fuel Type 4"</formula1>
    </dataValidation>
  </dataValidations>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24F27A7-B5B7-45FC-9FB3-9999B39FA4C6}">
          <x14:formula1>
            <xm:f>References!$B$7:$B$16</xm:f>
          </x14:formula1>
          <xm:sqref>E2:E3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4668076-043e-4697-bb39-7b80012c2248">
      <Terms xmlns="http://schemas.microsoft.com/office/infopath/2007/PartnerControls"/>
    </lcf76f155ced4ddcb4097134ff3c332f>
    <TaxCatchAll xmlns="7569a7e1-03b1-495a-bffb-04026ee75ded"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8EA62DAE57E1D4799533F3244F2A154" ma:contentTypeVersion="15" ma:contentTypeDescription="Opret et nyt dokument." ma:contentTypeScope="" ma:versionID="6545364466de0dcecaf01ac480fad6ae">
  <xsd:schema xmlns:xsd="http://www.w3.org/2001/XMLSchema" xmlns:xs="http://www.w3.org/2001/XMLSchema" xmlns:p="http://schemas.microsoft.com/office/2006/metadata/properties" xmlns:ns1="http://schemas.microsoft.com/sharepoint/v3" xmlns:ns2="d4668076-043e-4697-bb39-7b80012c2248" xmlns:ns3="7569a7e1-03b1-495a-bffb-04026ee75ded" targetNamespace="http://schemas.microsoft.com/office/2006/metadata/properties" ma:root="true" ma:fieldsID="0b426e1d8037861f41b56206ecdd3352" ns1:_="" ns2:_="" ns3:_="">
    <xsd:import namespace="http://schemas.microsoft.com/sharepoint/v3"/>
    <xsd:import namespace="d4668076-043e-4697-bb39-7b80012c2248"/>
    <xsd:import namespace="7569a7e1-03b1-495a-bffb-04026ee75de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Egenskaber for Unified Compliance Policy" ma:hidden="true" ma:internalName="_ip_UnifiedCompliancePolicyProperties">
      <xsd:simpleType>
        <xsd:restriction base="dms:Note"/>
      </xsd:simpleType>
    </xsd:element>
    <xsd:element name="_ip_UnifiedCompliancePolicyUIAction" ma:index="22"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668076-043e-4697-bb39-7b80012c22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illedmærker" ma:readOnly="false" ma:fieldId="{5cf76f15-5ced-4ddc-b409-7134ff3c332f}" ma:taxonomyMulti="true" ma:sspId="5405d3cf-f1b6-4142-bd55-078f49f7cf52"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9a7e1-03b1-495a-bffb-04026ee75de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16a5639-8870-4a0e-8873-cea66a2ec344}" ma:internalName="TaxCatchAll" ma:showField="CatchAllData" ma:web="7569a7e1-03b1-495a-bffb-04026ee75de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48EF5D-66B6-4C4E-935E-EFB3D1574AB2}"/>
</file>

<file path=customXml/itemProps2.xml><?xml version="1.0" encoding="utf-8"?>
<ds:datastoreItem xmlns:ds="http://schemas.openxmlformats.org/officeDocument/2006/customXml" ds:itemID="{405042D2-97FA-479A-8132-661E0E96F275}"/>
</file>

<file path=customXml/itemProps3.xml><?xml version="1.0" encoding="utf-8"?>
<ds:datastoreItem xmlns:ds="http://schemas.openxmlformats.org/officeDocument/2006/customXml" ds:itemID="{759E8F46-4E81-44C4-B8C5-3E1F20477C6B}"/>
</file>

<file path=docMetadata/LabelInfo.xml><?xml version="1.0" encoding="utf-8"?>
<clbl:labelList xmlns:clbl="http://schemas.microsoft.com/office/2020/mipLabelMetadata">
  <clbl:label id="{57368c21-b8cf-42cf-bd0b-43ecd4bc62ae}" enabled="0" method="" siteId="{57368c21-b8cf-42cf-bd0b-43ecd4bc62ae}" removed="1"/>
  <clbl:label id="{e4b931d8-a288-4db6-acc7-364bc8042050}" enabled="1" method="Privileged" siteId="{5218c2a1-81cc-40ce-af99-7505143bc26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Ivo Keranov</dc:creator>
  <cp:keywords/>
  <dc:description/>
  <cp:lastModifiedBy>Mads - Katalist</cp:lastModifiedBy>
  <cp:revision/>
  <dcterms:created xsi:type="dcterms:W3CDTF">2023-07-06T05:55:31Z</dcterms:created>
  <dcterms:modified xsi:type="dcterms:W3CDTF">2026-06-05T06:29:06Z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0x010100F8EA62DAE57E1D4799533F3244F2A154</vt:lpwstr>
  </property>
  <property fmtid="{D5CDD505-2E9C-101B-9397-08002B2CF9AE}" pid="3" name="MediaServiceImageTags">
    <vt:lpwstr/>
  </property>
  <property fmtid="{D5CDD505-2E9C-101B-9397-08002B2CF9AE}" pid="4" name="Client Partner">
    <vt:lpwstr/>
  </property>
  <property fmtid="{D5CDD505-2E9C-101B-9397-08002B2CF9AE}" pid="5" name="Technology">
    <vt:lpwstr/>
  </property>
  <property fmtid="{D5CDD505-2E9C-101B-9397-08002B2CF9AE}" pid="6" name="TaxKeyword">
    <vt:lpwstr/>
  </property>
  <property fmtid="{D5CDD505-2E9C-101B-9397-08002B2CF9AE}" pid="7" name="Countries Impacted">
    <vt:lpwstr/>
  </property>
  <property fmtid="{D5CDD505-2E9C-101B-9397-08002B2CF9AE}" pid="8" name="Geography">
    <vt:lpwstr/>
  </property>
  <property fmtid="{D5CDD505-2E9C-101B-9397-08002B2CF9AE}" pid="9" name="Projects">
    <vt:lpwstr/>
  </property>
  <property fmtid="{D5CDD505-2E9C-101B-9397-08002B2CF9AE}" pid="10" name="l9283ed5dc164381a5df9e58c4c717b4">
    <vt:lpwstr/>
  </property>
  <property fmtid="{D5CDD505-2E9C-101B-9397-08002B2CF9AE}" pid="11" name="Document Status">
    <vt:lpwstr>1;#Draft|1196e416-c1e2-46e4-892a-39f21fb650b4</vt:lpwstr>
  </property>
  <property fmtid="{D5CDD505-2E9C-101B-9397-08002B2CF9AE}" pid="12" name="Program">
    <vt:lpwstr/>
  </property>
  <property fmtid="{D5CDD505-2E9C-101B-9397-08002B2CF9AE}" pid="13" name="Foundation">
    <vt:lpwstr/>
  </property>
  <property fmtid="{D5CDD505-2E9C-101B-9397-08002B2CF9AE}" pid="14" name="Initiative">
    <vt:lpwstr/>
  </property>
  <property fmtid="{D5CDD505-2E9C-101B-9397-08002B2CF9AE}" pid="15" name="Legal Designation">
    <vt:lpwstr>2;#Restricted - Internal use only|16e0e62b-45fc-43f2-9316-8e87a381ed63</vt:lpwstr>
  </property>
  <property fmtid="{D5CDD505-2E9C-101B-9397-08002B2CF9AE}" pid="16" name="Industry">
    <vt:lpwstr/>
  </property>
  <property fmtid="{D5CDD505-2E9C-101B-9397-08002B2CF9AE}" pid="17" name="lcf76f155ced4ddcb4097134ff3c332f">
    <vt:lpwstr/>
  </property>
  <property fmtid="{D5CDD505-2E9C-101B-9397-08002B2CF9AE}" pid="18" name="Order">
    <vt:r8>148400</vt:r8>
  </property>
  <property fmtid="{D5CDD505-2E9C-101B-9397-08002B2CF9AE}" pid="19" name="xd_Signature">
    <vt:bool>false</vt:bool>
  </property>
  <property fmtid="{D5CDD505-2E9C-101B-9397-08002B2CF9AE}" pid="20" name="xd_ProgID">
    <vt:lpwstr/>
  </property>
  <property fmtid="{D5CDD505-2E9C-101B-9397-08002B2CF9AE}" pid="21" name="ComplianceAssetId">
    <vt:lpwstr/>
  </property>
  <property fmtid="{D5CDD505-2E9C-101B-9397-08002B2CF9AE}" pid="22" name="TemplateUrl">
    <vt:lpwstr/>
  </property>
  <property fmtid="{D5CDD505-2E9C-101B-9397-08002B2CF9AE}" pid="23" name="_ExtendedDescription">
    <vt:lpwstr/>
  </property>
  <property fmtid="{D5CDD505-2E9C-101B-9397-08002B2CF9AE}" pid="24" name="TriggerFlowInfo">
    <vt:lpwstr/>
  </property>
</Properties>
</file>